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- EN COURS\Films de capitalisation - Suivi de projet\Outils\"/>
    </mc:Choice>
  </mc:AlternateContent>
  <xr:revisionPtr revIDLastSave="0" documentId="13_ncr:1_{17CFB8D2-0C36-431F-A1C9-0158EAD8E63A}" xr6:coauthVersionLast="45" xr6:coauthVersionMax="45" xr10:uidLastSave="{00000000-0000-0000-0000-000000000000}"/>
  <bookViews>
    <workbookView xWindow="-120" yWindow="-120" windowWidth="21840" windowHeight="13140" tabRatio="758" xr2:uid="{00000000-000D-0000-FFFF-FFFF00000000}"/>
  </bookViews>
  <sheets>
    <sheet name="Budget follow up" sheetId="1" r:id="rId1"/>
    <sheet name="Budget R1" sheetId="2" r:id="rId2"/>
    <sheet name="Budget R2" sheetId="3" r:id="rId3"/>
    <sheet name="Budget R3" sheetId="4" r:id="rId4"/>
    <sheet name="Budget R4" sheetId="5" r:id="rId5"/>
    <sheet name="RH" sheetId="6" r:id="rId6"/>
    <sheet name="FONCTIONNEMENT" sheetId="7" r:id="rId7"/>
    <sheet name="FRAIS DENCADREMENT" sheetId="8" r:id="rId8"/>
    <sheet name="caisse " sheetId="11" r:id="rId9"/>
    <sheet name="banque " sheetId="12" r:id="rId10"/>
  </sheets>
  <externalReferences>
    <externalReference r:id="rId11"/>
  </externalReferences>
  <definedNames>
    <definedName name="_xlnm._FilterDatabase" localSheetId="5" hidden="1">RH!$E$15:$R$118</definedName>
    <definedName name="LigneBudg5">[1]R5!$F$18:$I$18</definedName>
    <definedName name="LigneBudgFB">'[1]Fonctionnement bureau '!$F$21:$N$21</definedName>
    <definedName name="_xlnm.Print_Area" localSheetId="8">'caisse 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6" i="12" l="1"/>
  <c r="O7" i="6" l="1"/>
  <c r="I112" i="6"/>
  <c r="I111" i="6"/>
  <c r="I110" i="6"/>
  <c r="O6" i="6" s="1"/>
  <c r="N68" i="1" s="1"/>
  <c r="I109" i="6"/>
  <c r="O8" i="6" s="1"/>
  <c r="N70" i="1" s="1"/>
  <c r="I108" i="6"/>
  <c r="I107" i="6"/>
  <c r="I106" i="6"/>
  <c r="I105" i="6"/>
  <c r="O9" i="6" s="1"/>
  <c r="I104" i="6"/>
  <c r="I113" i="6"/>
  <c r="K233" i="11" l="1"/>
  <c r="I64" i="3"/>
  <c r="I61" i="3"/>
  <c r="I62" i="3"/>
  <c r="I63" i="3"/>
  <c r="I66" i="3"/>
  <c r="I60" i="3"/>
  <c r="O15" i="3" s="1"/>
  <c r="I59" i="3"/>
  <c r="O14" i="3" s="1"/>
  <c r="H78" i="2"/>
  <c r="I74" i="2"/>
  <c r="O9" i="2" s="1"/>
  <c r="K162" i="12" l="1"/>
  <c r="K163" i="12"/>
  <c r="O161" i="12"/>
  <c r="N164" i="12" s="1"/>
  <c r="F155" i="12" l="1"/>
  <c r="D233" i="11" l="1"/>
  <c r="K234" i="11" s="1"/>
  <c r="F211" i="11"/>
  <c r="F212" i="11" s="1"/>
  <c r="F213" i="11" s="1"/>
  <c r="F214" i="11" s="1"/>
  <c r="F215" i="11" s="1"/>
  <c r="F216" i="11" s="1"/>
  <c r="F217" i="11" s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H78" i="4"/>
  <c r="I73" i="2"/>
  <c r="I72" i="2"/>
  <c r="I71" i="2"/>
  <c r="I77" i="4"/>
  <c r="I76" i="4"/>
  <c r="I75" i="4"/>
  <c r="I74" i="4"/>
  <c r="I73" i="4"/>
  <c r="I72" i="4"/>
  <c r="I71" i="4"/>
  <c r="I70" i="4"/>
  <c r="I69" i="4"/>
  <c r="I68" i="4"/>
  <c r="I67" i="4"/>
  <c r="I58" i="3"/>
  <c r="O11" i="3" s="1"/>
  <c r="I57" i="3"/>
  <c r="I56" i="3"/>
  <c r="I55" i="3"/>
  <c r="O12" i="3" s="1"/>
  <c r="I54" i="3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O10" i="7" s="1"/>
  <c r="I140" i="7"/>
  <c r="O12" i="7" s="1"/>
  <c r="I138" i="7"/>
  <c r="I137" i="7"/>
  <c r="I136" i="7"/>
  <c r="O7" i="7" s="1"/>
  <c r="I135" i="7"/>
  <c r="I134" i="7"/>
  <c r="I139" i="7"/>
  <c r="O11" i="7" s="1"/>
  <c r="I133" i="7"/>
  <c r="I132" i="7"/>
  <c r="I131" i="7"/>
  <c r="I130" i="7"/>
  <c r="I154" i="7"/>
  <c r="H155" i="7"/>
  <c r="G50" i="5" l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49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84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85" i="5"/>
  <c r="H86" i="5"/>
  <c r="O8" i="5" l="1"/>
  <c r="O10" i="5"/>
  <c r="N54" i="1"/>
  <c r="N53" i="1"/>
  <c r="N52" i="1"/>
  <c r="N51" i="1"/>
  <c r="N49" i="1"/>
  <c r="N48" i="1"/>
  <c r="N47" i="1"/>
  <c r="K54" i="1"/>
  <c r="K53" i="1"/>
  <c r="K52" i="1"/>
  <c r="K51" i="1"/>
  <c r="K50" i="1"/>
  <c r="K48" i="1"/>
  <c r="H54" i="1"/>
  <c r="H53" i="1"/>
  <c r="H51" i="1"/>
  <c r="H50" i="1"/>
  <c r="H49" i="1"/>
  <c r="H48" i="1"/>
  <c r="H47" i="1"/>
  <c r="E48" i="1"/>
  <c r="E49" i="1"/>
  <c r="E50" i="1"/>
  <c r="E51" i="1"/>
  <c r="E53" i="1"/>
  <c r="E54" i="1"/>
  <c r="E47" i="1"/>
  <c r="R10" i="5"/>
  <c r="R12" i="5"/>
  <c r="R13" i="5"/>
  <c r="R7" i="5"/>
  <c r="H123" i="7" l="1"/>
  <c r="I120" i="7"/>
  <c r="I119" i="7"/>
  <c r="O145" i="12"/>
  <c r="N147" i="12" s="1"/>
  <c r="O122" i="12"/>
  <c r="O123" i="12" s="1"/>
  <c r="O107" i="12"/>
  <c r="O108" i="12" s="1"/>
  <c r="O93" i="12"/>
  <c r="O94" i="12" s="1"/>
  <c r="O26" i="12"/>
  <c r="O21" i="12"/>
  <c r="O20" i="12"/>
  <c r="O14" i="12"/>
  <c r="O35" i="12" l="1"/>
  <c r="O36" i="12" s="1"/>
  <c r="N76" i="12"/>
  <c r="O78" i="12" s="1"/>
  <c r="O79" i="12" s="1"/>
  <c r="N62" i="12"/>
  <c r="N60" i="12"/>
  <c r="N45" i="12"/>
  <c r="N43" i="12"/>
  <c r="O41" i="12"/>
  <c r="O47" i="12" l="1"/>
  <c r="O48" i="12" s="1"/>
  <c r="O64" i="12"/>
  <c r="I116" i="7"/>
  <c r="I118" i="7"/>
  <c r="I117" i="7"/>
  <c r="I115" i="7"/>
  <c r="F138" i="12"/>
  <c r="F139" i="12" s="1"/>
  <c r="D164" i="12"/>
  <c r="K164" i="12" s="1"/>
  <c r="I114" i="7" l="1"/>
  <c r="G92" i="6" l="1"/>
  <c r="G93" i="6" s="1"/>
  <c r="G94" i="6" s="1"/>
  <c r="G95" i="6" s="1"/>
  <c r="G96" i="6" s="1"/>
  <c r="I99" i="6"/>
  <c r="I98" i="6"/>
  <c r="I97" i="6"/>
  <c r="I96" i="6"/>
  <c r="I95" i="6"/>
  <c r="I94" i="6"/>
  <c r="I93" i="6"/>
  <c r="I92" i="6"/>
  <c r="I91" i="6"/>
  <c r="I113" i="7"/>
  <c r="I112" i="7"/>
  <c r="I111" i="7"/>
  <c r="I110" i="7"/>
  <c r="I109" i="7"/>
  <c r="I108" i="7"/>
  <c r="I107" i="7"/>
  <c r="I106" i="7"/>
  <c r="I105" i="7"/>
  <c r="I100" i="6" l="1"/>
  <c r="I101" i="6"/>
  <c r="N71" i="1"/>
  <c r="N69" i="1"/>
  <c r="N72" i="1" s="1"/>
  <c r="N65" i="1"/>
  <c r="N64" i="1"/>
  <c r="N63" i="1"/>
  <c r="N62" i="1"/>
  <c r="N60" i="1"/>
  <c r="N59" i="1"/>
  <c r="K65" i="1"/>
  <c r="K60" i="1"/>
  <c r="K59" i="1"/>
  <c r="H59" i="1"/>
  <c r="H61" i="1"/>
  <c r="H65" i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K25" i="1"/>
  <c r="K24" i="1"/>
  <c r="K23" i="1"/>
  <c r="K22" i="1"/>
  <c r="K21" i="1"/>
  <c r="K16" i="1"/>
  <c r="K14" i="1"/>
  <c r="K12" i="1"/>
  <c r="H26" i="1"/>
  <c r="H25" i="1"/>
  <c r="H24" i="1"/>
  <c r="H23" i="1"/>
  <c r="H22" i="1"/>
  <c r="H21" i="1"/>
  <c r="H20" i="1"/>
  <c r="H19" i="1"/>
  <c r="H18" i="1"/>
  <c r="H17" i="1"/>
  <c r="H15" i="1"/>
  <c r="H13" i="1"/>
  <c r="H12" i="1"/>
  <c r="N30" i="1"/>
  <c r="N31" i="1"/>
  <c r="N32" i="1"/>
  <c r="N33" i="1"/>
  <c r="N34" i="1"/>
  <c r="N35" i="1"/>
  <c r="N36" i="1"/>
  <c r="N37" i="1"/>
  <c r="N38" i="1"/>
  <c r="K30" i="1"/>
  <c r="K34" i="1"/>
  <c r="K35" i="1"/>
  <c r="K36" i="1"/>
  <c r="K37" i="1"/>
  <c r="K38" i="1"/>
  <c r="K29" i="1"/>
  <c r="H30" i="1"/>
  <c r="H31" i="1"/>
  <c r="H32" i="1"/>
  <c r="H33" i="1"/>
  <c r="H34" i="1"/>
  <c r="H35" i="1"/>
  <c r="H36" i="1"/>
  <c r="H37" i="1"/>
  <c r="H38" i="1"/>
  <c r="H29" i="1"/>
  <c r="I104" i="7" l="1"/>
  <c r="F117" i="12" l="1"/>
  <c r="F120" i="12" s="1"/>
  <c r="F121" i="12" s="1"/>
  <c r="I103" i="7" l="1"/>
  <c r="I100" i="7" l="1"/>
  <c r="I101" i="7"/>
  <c r="I102" i="7"/>
  <c r="I97" i="7"/>
  <c r="I89" i="6"/>
  <c r="I87" i="6"/>
  <c r="I86" i="6"/>
  <c r="I73" i="6" l="1"/>
  <c r="I74" i="6"/>
  <c r="I75" i="6"/>
  <c r="I76" i="6"/>
  <c r="I77" i="6"/>
  <c r="I78" i="6"/>
  <c r="I79" i="6"/>
  <c r="I80" i="6"/>
  <c r="I81" i="6"/>
  <c r="I82" i="7"/>
  <c r="I83" i="7"/>
  <c r="I84" i="7"/>
  <c r="I85" i="7"/>
  <c r="I86" i="7"/>
  <c r="I87" i="7"/>
  <c r="I88" i="7"/>
  <c r="I89" i="7"/>
  <c r="I90" i="7"/>
  <c r="I91" i="7"/>
  <c r="I92" i="7"/>
  <c r="I93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L8" i="6" l="1"/>
  <c r="L11" i="7"/>
  <c r="K63" i="1" s="1"/>
  <c r="I12" i="7"/>
  <c r="H64" i="1" s="1"/>
  <c r="K70" i="1" l="1"/>
  <c r="F99" i="12"/>
  <c r="F100" i="12" s="1"/>
  <c r="F101" i="12" s="1"/>
  <c r="F102" i="12" s="1"/>
  <c r="F103" i="12" s="1"/>
  <c r="F104" i="12" s="1"/>
  <c r="F105" i="12" s="1"/>
  <c r="F106" i="12" s="1"/>
  <c r="I26" i="8"/>
  <c r="L6" i="8" s="1"/>
  <c r="K77" i="1" s="1"/>
  <c r="K165" i="12" l="1"/>
  <c r="I57" i="7" l="1"/>
  <c r="I79" i="7"/>
  <c r="I80" i="7"/>
  <c r="I6" i="7" l="1"/>
  <c r="F84" i="12" l="1"/>
  <c r="F85" i="12" s="1"/>
  <c r="F86" i="12" s="1"/>
  <c r="F87" i="12" s="1"/>
  <c r="F88" i="12" s="1"/>
  <c r="F89" i="12" s="1"/>
  <c r="F90" i="12" s="1"/>
  <c r="F91" i="12" s="1"/>
  <c r="F92" i="12" s="1"/>
  <c r="F93" i="12" s="1"/>
  <c r="I68" i="6"/>
  <c r="I8" i="7" l="1"/>
  <c r="H60" i="1" s="1"/>
  <c r="E14" i="12" l="1"/>
  <c r="E15" i="12" s="1"/>
  <c r="I52" i="6" l="1"/>
  <c r="I53" i="6"/>
  <c r="I54" i="6"/>
  <c r="I55" i="6"/>
  <c r="I56" i="6"/>
  <c r="I57" i="6"/>
  <c r="I58" i="6"/>
  <c r="I59" i="6"/>
  <c r="I60" i="6"/>
  <c r="H58" i="1" l="1"/>
  <c r="G53" i="6" l="1"/>
  <c r="G54" i="6" s="1"/>
  <c r="G55" i="6" s="1"/>
  <c r="G56" i="6" s="1"/>
  <c r="G57" i="6" s="1"/>
  <c r="G58" i="6" s="1"/>
  <c r="G59" i="6" s="1"/>
  <c r="H47" i="5" l="1"/>
  <c r="H37" i="5"/>
  <c r="I37" i="2"/>
  <c r="I51" i="6" l="1"/>
  <c r="I11" i="7" l="1"/>
  <c r="H63" i="1" s="1"/>
  <c r="I56" i="7"/>
  <c r="I10" i="7" s="1"/>
  <c r="H62" i="1" s="1"/>
  <c r="I50" i="6" l="1"/>
  <c r="I49" i="6"/>
  <c r="I48" i="6"/>
  <c r="I47" i="6"/>
  <c r="I46" i="6"/>
  <c r="I45" i="6"/>
  <c r="I44" i="6"/>
  <c r="I43" i="6"/>
  <c r="F53" i="1"/>
  <c r="F54" i="1"/>
  <c r="H39" i="1"/>
  <c r="H66" i="1" l="1"/>
  <c r="I39" i="6" l="1"/>
  <c r="I38" i="6"/>
  <c r="S76" i="1"/>
  <c r="S79" i="1" s="1"/>
  <c r="S72" i="1"/>
  <c r="S66" i="1"/>
  <c r="S55" i="1"/>
  <c r="S45" i="1"/>
  <c r="S39" i="1"/>
  <c r="S27" i="1"/>
  <c r="S56" i="1" l="1"/>
  <c r="S73" i="1"/>
  <c r="I50" i="7"/>
  <c r="I24" i="7"/>
  <c r="S74" i="1" l="1"/>
  <c r="S80" i="1" s="1"/>
  <c r="I22" i="7"/>
  <c r="I23" i="7"/>
  <c r="I49" i="7"/>
  <c r="I32" i="7"/>
  <c r="I21" i="7"/>
  <c r="F11" i="7" l="1"/>
  <c r="I28" i="6"/>
  <c r="I29" i="6"/>
  <c r="I21" i="6"/>
  <c r="I20" i="6"/>
  <c r="E59" i="1" l="1"/>
  <c r="E60" i="1"/>
  <c r="E63" i="1"/>
  <c r="E65" i="1"/>
  <c r="H29" i="5"/>
  <c r="H87" i="5" s="1"/>
  <c r="H55" i="7" l="1"/>
  <c r="I54" i="7"/>
  <c r="I40" i="7"/>
  <c r="I36" i="7"/>
  <c r="I35" i="7"/>
  <c r="I33" i="7"/>
  <c r="E32" i="11" l="1"/>
  <c r="E33" i="11" s="1"/>
  <c r="E82" i="11" l="1"/>
  <c r="E84" i="11" l="1"/>
  <c r="I37" i="6" l="1"/>
  <c r="I36" i="6"/>
  <c r="I30" i="6"/>
  <c r="I27" i="6"/>
  <c r="I29" i="7"/>
  <c r="I20" i="7"/>
  <c r="I26" i="7"/>
  <c r="I28" i="7"/>
  <c r="I30" i="7"/>
  <c r="I27" i="7"/>
  <c r="I19" i="6"/>
  <c r="I22" i="6"/>
  <c r="F8" i="6" l="1"/>
  <c r="E70" i="1" s="1"/>
  <c r="F12" i="7"/>
  <c r="F6" i="6"/>
  <c r="E68" i="1" s="1"/>
  <c r="I23" i="5"/>
  <c r="I22" i="5"/>
  <c r="I21" i="5"/>
  <c r="I20" i="5"/>
  <c r="I19" i="5"/>
  <c r="I24" i="5"/>
  <c r="F11" i="5" l="1"/>
  <c r="E52" i="1" s="1"/>
  <c r="F52" i="1" s="1"/>
  <c r="I29" i="5"/>
  <c r="G55" i="1"/>
  <c r="D55" i="1"/>
  <c r="P54" i="1"/>
  <c r="Q54" i="1"/>
  <c r="T54" i="1" s="1"/>
  <c r="I54" i="1"/>
  <c r="P52" i="1"/>
  <c r="Q7" i="5"/>
  <c r="Q8" i="5"/>
  <c r="Q9" i="5"/>
  <c r="Q10" i="5"/>
  <c r="Q11" i="5"/>
  <c r="Q12" i="5"/>
  <c r="Q13" i="5"/>
  <c r="P12" i="5"/>
  <c r="P13" i="5"/>
  <c r="E55" i="1" l="1"/>
  <c r="F55" i="1" s="1"/>
  <c r="S7" i="5"/>
  <c r="S12" i="5"/>
  <c r="S13" i="5"/>
  <c r="R54" i="1"/>
  <c r="S10" i="5"/>
  <c r="P14" i="1"/>
  <c r="P16" i="1"/>
  <c r="M15" i="1"/>
  <c r="O15" i="1" s="1"/>
  <c r="J15" i="1"/>
  <c r="G15" i="1"/>
  <c r="I15" i="1" s="1"/>
  <c r="D15" i="1"/>
  <c r="F15" i="1" s="1"/>
  <c r="M13" i="1"/>
  <c r="O13" i="1" s="1"/>
  <c r="J13" i="1"/>
  <c r="G13" i="1"/>
  <c r="I13" i="1" s="1"/>
  <c r="D13" i="1"/>
  <c r="F13" i="1" s="1"/>
  <c r="Q10" i="2"/>
  <c r="N9" i="2"/>
  <c r="K9" i="2"/>
  <c r="H9" i="2"/>
  <c r="E9" i="2"/>
  <c r="Q8" i="2"/>
  <c r="N7" i="2"/>
  <c r="K7" i="2"/>
  <c r="H7" i="2"/>
  <c r="E7" i="2"/>
  <c r="P15" i="1" l="1"/>
  <c r="M72" i="1"/>
  <c r="J72" i="1"/>
  <c r="G72" i="1"/>
  <c r="O72" i="1" l="1"/>
  <c r="O8" i="8" l="1"/>
  <c r="N8" i="8"/>
  <c r="L8" i="8"/>
  <c r="K8" i="8"/>
  <c r="I8" i="8"/>
  <c r="H8" i="8"/>
  <c r="E8" i="8"/>
  <c r="Q7" i="8"/>
  <c r="P7" i="8"/>
  <c r="M7" i="8"/>
  <c r="J7" i="8"/>
  <c r="R6" i="8"/>
  <c r="Q6" i="8"/>
  <c r="P6" i="8"/>
  <c r="M6" i="8"/>
  <c r="J6" i="8"/>
  <c r="G6" i="8"/>
  <c r="J8" i="8" l="1"/>
  <c r="Q8" i="8"/>
  <c r="M8" i="8"/>
  <c r="P8" i="8"/>
  <c r="S6" i="8"/>
  <c r="H41" i="8" l="1"/>
  <c r="I40" i="8"/>
  <c r="I39" i="8"/>
  <c r="I38" i="8"/>
  <c r="I37" i="8"/>
  <c r="I36" i="8"/>
  <c r="I35" i="8"/>
  <c r="I34" i="8"/>
  <c r="H33" i="8"/>
  <c r="I32" i="8"/>
  <c r="I31" i="8"/>
  <c r="I30" i="8"/>
  <c r="I29" i="8"/>
  <c r="I28" i="8"/>
  <c r="I27" i="8"/>
  <c r="H25" i="8"/>
  <c r="I24" i="8"/>
  <c r="I23" i="8"/>
  <c r="I22" i="8"/>
  <c r="I21" i="8"/>
  <c r="I20" i="8"/>
  <c r="H19" i="8"/>
  <c r="I18" i="8"/>
  <c r="I17" i="8"/>
  <c r="I16" i="8"/>
  <c r="I15" i="8"/>
  <c r="I14" i="8"/>
  <c r="F7" i="8" s="1"/>
  <c r="E78" i="1" s="1"/>
  <c r="P13" i="7"/>
  <c r="M13" i="7"/>
  <c r="J13" i="7"/>
  <c r="G13" i="7"/>
  <c r="P12" i="7"/>
  <c r="J12" i="7"/>
  <c r="P11" i="7"/>
  <c r="M11" i="7"/>
  <c r="J11" i="7"/>
  <c r="G11" i="7"/>
  <c r="P10" i="7"/>
  <c r="J10" i="7"/>
  <c r="J9" i="7"/>
  <c r="P8" i="7"/>
  <c r="M8" i="7"/>
  <c r="J8" i="7"/>
  <c r="G8" i="7"/>
  <c r="P7" i="7"/>
  <c r="M7" i="7"/>
  <c r="J7" i="7"/>
  <c r="G7" i="7"/>
  <c r="J6" i="7"/>
  <c r="P9" i="6"/>
  <c r="P8" i="6"/>
  <c r="M8" i="6"/>
  <c r="G8" i="6"/>
  <c r="P7" i="6"/>
  <c r="P6" i="6"/>
  <c r="G6" i="6"/>
  <c r="I129" i="7"/>
  <c r="I128" i="7"/>
  <c r="O9" i="7" s="1"/>
  <c r="N61" i="1" s="1"/>
  <c r="I127" i="7"/>
  <c r="I126" i="7"/>
  <c r="I125" i="7"/>
  <c r="I124" i="7"/>
  <c r="O6" i="7" s="1"/>
  <c r="N58" i="1" s="1"/>
  <c r="I99" i="7"/>
  <c r="I98" i="7"/>
  <c r="I96" i="7"/>
  <c r="I95" i="7"/>
  <c r="I94" i="7"/>
  <c r="H81" i="7"/>
  <c r="H156" i="7" s="1"/>
  <c r="I53" i="7"/>
  <c r="I52" i="7"/>
  <c r="I51" i="7"/>
  <c r="I48" i="7"/>
  <c r="I47" i="7"/>
  <c r="I46" i="7"/>
  <c r="I45" i="7"/>
  <c r="I44" i="7"/>
  <c r="I43" i="7"/>
  <c r="I42" i="7"/>
  <c r="I41" i="7"/>
  <c r="I39" i="7"/>
  <c r="I38" i="7"/>
  <c r="I37" i="7"/>
  <c r="I31" i="7"/>
  <c r="O14" i="7"/>
  <c r="N14" i="7"/>
  <c r="K14" i="7"/>
  <c r="I14" i="7"/>
  <c r="H14" i="7"/>
  <c r="E14" i="7"/>
  <c r="R13" i="7"/>
  <c r="Q13" i="7"/>
  <c r="Q12" i="7"/>
  <c r="R11" i="7"/>
  <c r="Q11" i="7"/>
  <c r="Q10" i="7"/>
  <c r="Q9" i="7"/>
  <c r="R8" i="7"/>
  <c r="Q8" i="7"/>
  <c r="R7" i="7"/>
  <c r="Q7" i="7"/>
  <c r="Q6" i="7"/>
  <c r="M12" i="5"/>
  <c r="J13" i="5"/>
  <c r="G12" i="5"/>
  <c r="P10" i="5"/>
  <c r="M10" i="5"/>
  <c r="J10" i="5"/>
  <c r="G10" i="5"/>
  <c r="M9" i="5"/>
  <c r="J9" i="5"/>
  <c r="G9" i="5"/>
  <c r="P8" i="5"/>
  <c r="G8" i="5"/>
  <c r="P7" i="5"/>
  <c r="M7" i="5"/>
  <c r="J7" i="5"/>
  <c r="G7" i="5"/>
  <c r="P6" i="5"/>
  <c r="J6" i="5"/>
  <c r="G6" i="5"/>
  <c r="G9" i="4"/>
  <c r="G8" i="4"/>
  <c r="P7" i="4"/>
  <c r="M7" i="4"/>
  <c r="J7" i="4"/>
  <c r="G7" i="4"/>
  <c r="P15" i="3"/>
  <c r="M15" i="3"/>
  <c r="J15" i="3"/>
  <c r="G15" i="3"/>
  <c r="P14" i="3"/>
  <c r="M14" i="3"/>
  <c r="J14" i="3"/>
  <c r="G14" i="3"/>
  <c r="P13" i="3"/>
  <c r="M13" i="3"/>
  <c r="J13" i="3"/>
  <c r="G13" i="3"/>
  <c r="P12" i="3"/>
  <c r="M12" i="3"/>
  <c r="J12" i="3"/>
  <c r="G12" i="3"/>
  <c r="P11" i="3"/>
  <c r="M11" i="3"/>
  <c r="J11" i="3"/>
  <c r="G11" i="3"/>
  <c r="P10" i="3"/>
  <c r="J10" i="3"/>
  <c r="G10" i="3"/>
  <c r="P9" i="3"/>
  <c r="J9" i="3"/>
  <c r="P8" i="3"/>
  <c r="J8" i="3"/>
  <c r="G8" i="3"/>
  <c r="P7" i="3"/>
  <c r="M7" i="3"/>
  <c r="J7" i="3"/>
  <c r="M6" i="3"/>
  <c r="J6" i="3"/>
  <c r="G6" i="3"/>
  <c r="J20" i="2"/>
  <c r="P19" i="2"/>
  <c r="M19" i="2"/>
  <c r="J19" i="2"/>
  <c r="G19" i="2"/>
  <c r="P18" i="2"/>
  <c r="M18" i="2"/>
  <c r="J18" i="2"/>
  <c r="G18" i="2"/>
  <c r="P17" i="2"/>
  <c r="M17" i="2"/>
  <c r="J17" i="2"/>
  <c r="G17" i="2"/>
  <c r="P16" i="2"/>
  <c r="M16" i="2"/>
  <c r="J16" i="2"/>
  <c r="G16" i="2"/>
  <c r="M15" i="2"/>
  <c r="J15" i="2"/>
  <c r="G15" i="2"/>
  <c r="P14" i="2"/>
  <c r="J14" i="2"/>
  <c r="G14" i="2"/>
  <c r="P13" i="2"/>
  <c r="J13" i="2"/>
  <c r="G13" i="2"/>
  <c r="P12" i="2"/>
  <c r="J12" i="2"/>
  <c r="G12" i="2"/>
  <c r="P11" i="2"/>
  <c r="J11" i="2"/>
  <c r="G11" i="2"/>
  <c r="P9" i="2"/>
  <c r="J9" i="2"/>
  <c r="G9" i="2"/>
  <c r="P7" i="2"/>
  <c r="J7" i="2"/>
  <c r="G7" i="2"/>
  <c r="P6" i="2"/>
  <c r="M6" i="2"/>
  <c r="J6" i="2"/>
  <c r="D72" i="1"/>
  <c r="F43" i="1"/>
  <c r="F44" i="1"/>
  <c r="I30" i="1"/>
  <c r="L30" i="1"/>
  <c r="O30" i="1"/>
  <c r="P30" i="1"/>
  <c r="P70" i="1"/>
  <c r="P71" i="1"/>
  <c r="O70" i="1"/>
  <c r="O71" i="1"/>
  <c r="L70" i="1"/>
  <c r="F70" i="1"/>
  <c r="P9" i="7" l="1"/>
  <c r="P6" i="7"/>
  <c r="I155" i="7"/>
  <c r="L6" i="7"/>
  <c r="K58" i="1" s="1"/>
  <c r="L12" i="7"/>
  <c r="K64" i="1" s="1"/>
  <c r="L10" i="7"/>
  <c r="K62" i="1" s="1"/>
  <c r="I123" i="7"/>
  <c r="L9" i="7"/>
  <c r="K61" i="1" s="1"/>
  <c r="M10" i="7"/>
  <c r="F10" i="7"/>
  <c r="M12" i="7"/>
  <c r="F9" i="7"/>
  <c r="I25" i="8"/>
  <c r="F6" i="7"/>
  <c r="I55" i="7"/>
  <c r="F8" i="8"/>
  <c r="R7" i="8"/>
  <c r="S7" i="8" s="1"/>
  <c r="G7" i="8"/>
  <c r="I19" i="8"/>
  <c r="I41" i="8"/>
  <c r="I33" i="8"/>
  <c r="H42" i="8"/>
  <c r="I81" i="7"/>
  <c r="Q14" i="7"/>
  <c r="S7" i="7"/>
  <c r="S8" i="7"/>
  <c r="S11" i="7"/>
  <c r="S13" i="7"/>
  <c r="J14" i="7"/>
  <c r="P14" i="7"/>
  <c r="I156" i="7" l="1"/>
  <c r="I42" i="8"/>
  <c r="M9" i="7"/>
  <c r="R9" i="7"/>
  <c r="S9" i="7" s="1"/>
  <c r="L14" i="7"/>
  <c r="M14" i="7" s="1"/>
  <c r="G9" i="7"/>
  <c r="M6" i="7"/>
  <c r="E62" i="1"/>
  <c r="Q62" i="1" s="1"/>
  <c r="T62" i="1" s="1"/>
  <c r="R10" i="7"/>
  <c r="S10" i="7" s="1"/>
  <c r="G10" i="7"/>
  <c r="E61" i="1"/>
  <c r="E58" i="1"/>
  <c r="Q58" i="1" s="1"/>
  <c r="T58" i="1" s="1"/>
  <c r="G6" i="7"/>
  <c r="F14" i="7"/>
  <c r="R6" i="7"/>
  <c r="S6" i="7" s="1"/>
  <c r="E64" i="1"/>
  <c r="Q64" i="1" s="1"/>
  <c r="T64" i="1" s="1"/>
  <c r="G12" i="7"/>
  <c r="R12" i="7"/>
  <c r="S12" i="7" s="1"/>
  <c r="R8" i="8"/>
  <c r="S8" i="8" s="1"/>
  <c r="G8" i="8"/>
  <c r="H117" i="6"/>
  <c r="I116" i="6"/>
  <c r="I115" i="6"/>
  <c r="I114" i="6"/>
  <c r="H103" i="6"/>
  <c r="I102" i="6"/>
  <c r="I90" i="6"/>
  <c r="L7" i="6" s="1"/>
  <c r="I88" i="6"/>
  <c r="L6" i="6" s="1"/>
  <c r="I85" i="6"/>
  <c r="I84" i="6"/>
  <c r="I83" i="6"/>
  <c r="I82" i="6"/>
  <c r="H72" i="6"/>
  <c r="I71" i="6"/>
  <c r="I70" i="6"/>
  <c r="I69" i="6"/>
  <c r="I7" i="6" s="1"/>
  <c r="I67" i="6"/>
  <c r="I66" i="6"/>
  <c r="I8" i="6" s="1"/>
  <c r="I65" i="6"/>
  <c r="I64" i="6"/>
  <c r="I63" i="6"/>
  <c r="I62" i="6"/>
  <c r="I61" i="6"/>
  <c r="H42" i="6"/>
  <c r="I41" i="6"/>
  <c r="I40" i="6"/>
  <c r="I35" i="6"/>
  <c r="I34" i="6"/>
  <c r="F7" i="6" s="1"/>
  <c r="I33" i="6"/>
  <c r="I32" i="6"/>
  <c r="I31" i="6"/>
  <c r="I26" i="6"/>
  <c r="I25" i="6"/>
  <c r="I24" i="6"/>
  <c r="I23" i="6"/>
  <c r="I18" i="6"/>
  <c r="I17" i="6"/>
  <c r="I16" i="6"/>
  <c r="I53" i="5"/>
  <c r="I52" i="5"/>
  <c r="I51" i="5"/>
  <c r="I50" i="5"/>
  <c r="I49" i="5"/>
  <c r="I48" i="5"/>
  <c r="O9" i="5" s="1"/>
  <c r="I46" i="5"/>
  <c r="I45" i="5"/>
  <c r="I44" i="5"/>
  <c r="I43" i="5"/>
  <c r="L8" i="5" s="1"/>
  <c r="I42" i="5"/>
  <c r="I41" i="5"/>
  <c r="I40" i="5"/>
  <c r="I39" i="5"/>
  <c r="I38" i="5"/>
  <c r="I36" i="5"/>
  <c r="I35" i="5"/>
  <c r="I34" i="5"/>
  <c r="I33" i="5"/>
  <c r="I32" i="5"/>
  <c r="I31" i="5"/>
  <c r="I30" i="5"/>
  <c r="I28" i="5"/>
  <c r="I27" i="5"/>
  <c r="I26" i="5"/>
  <c r="I25" i="5"/>
  <c r="I66" i="4"/>
  <c r="I51" i="4"/>
  <c r="I50" i="4"/>
  <c r="I49" i="4"/>
  <c r="I48" i="4"/>
  <c r="I47" i="4"/>
  <c r="I46" i="4"/>
  <c r="H45" i="4"/>
  <c r="I44" i="4"/>
  <c r="I43" i="4"/>
  <c r="I42" i="4"/>
  <c r="I41" i="4"/>
  <c r="I40" i="4"/>
  <c r="I39" i="4"/>
  <c r="I38" i="4"/>
  <c r="H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H23" i="4"/>
  <c r="I22" i="4"/>
  <c r="I21" i="4"/>
  <c r="I20" i="4"/>
  <c r="I19" i="4"/>
  <c r="I18" i="4"/>
  <c r="I17" i="4"/>
  <c r="I16" i="4"/>
  <c r="I15" i="4"/>
  <c r="I23" i="3"/>
  <c r="I24" i="3"/>
  <c r="F9" i="3" s="1"/>
  <c r="I25" i="3"/>
  <c r="I26" i="3"/>
  <c r="I27" i="3"/>
  <c r="I28" i="3"/>
  <c r="I29" i="3"/>
  <c r="I22" i="3"/>
  <c r="I49" i="3"/>
  <c r="I50" i="3"/>
  <c r="I51" i="3"/>
  <c r="I52" i="3"/>
  <c r="I53" i="3"/>
  <c r="I48" i="3"/>
  <c r="I39" i="3"/>
  <c r="L8" i="3" s="1"/>
  <c r="I40" i="3"/>
  <c r="I41" i="3"/>
  <c r="I42" i="3"/>
  <c r="I43" i="3"/>
  <c r="I44" i="3"/>
  <c r="I45" i="3"/>
  <c r="I46" i="3"/>
  <c r="I38" i="3"/>
  <c r="L9" i="3" s="1"/>
  <c r="I32" i="3"/>
  <c r="I33" i="3"/>
  <c r="I34" i="3"/>
  <c r="I35" i="3"/>
  <c r="I36" i="3"/>
  <c r="I31" i="3"/>
  <c r="H67" i="3"/>
  <c r="H47" i="3"/>
  <c r="H37" i="3"/>
  <c r="H30" i="3"/>
  <c r="I65" i="2"/>
  <c r="O15" i="2" s="1"/>
  <c r="I66" i="2"/>
  <c r="I67" i="2"/>
  <c r="I68" i="2"/>
  <c r="I69" i="2"/>
  <c r="I70" i="2"/>
  <c r="I64" i="2"/>
  <c r="H63" i="2"/>
  <c r="I49" i="2"/>
  <c r="I50" i="2"/>
  <c r="L11" i="2" s="1"/>
  <c r="R11" i="2" s="1"/>
  <c r="I51" i="2"/>
  <c r="I52" i="2"/>
  <c r="I53" i="2"/>
  <c r="I54" i="2"/>
  <c r="I55" i="2"/>
  <c r="L14" i="2" s="1"/>
  <c r="I56" i="2"/>
  <c r="L12" i="2" s="1"/>
  <c r="I57" i="2"/>
  <c r="I58" i="2"/>
  <c r="I59" i="2"/>
  <c r="L7" i="2" s="1"/>
  <c r="I60" i="2"/>
  <c r="L9" i="2" s="1"/>
  <c r="I61" i="2"/>
  <c r="I62" i="2"/>
  <c r="I48" i="2"/>
  <c r="H47" i="2"/>
  <c r="I42" i="2"/>
  <c r="I43" i="2"/>
  <c r="I44" i="2"/>
  <c r="I45" i="2"/>
  <c r="I46" i="2"/>
  <c r="I41" i="2"/>
  <c r="I10" i="2" s="1"/>
  <c r="H16" i="1" s="1"/>
  <c r="I27" i="2"/>
  <c r="I28" i="2"/>
  <c r="I29" i="2"/>
  <c r="I30" i="2"/>
  <c r="I31" i="2"/>
  <c r="I32" i="2"/>
  <c r="I33" i="2"/>
  <c r="I34" i="2"/>
  <c r="I35" i="2"/>
  <c r="I36" i="2"/>
  <c r="I38" i="2"/>
  <c r="I39" i="2"/>
  <c r="H40" i="2"/>
  <c r="O10" i="6"/>
  <c r="N10" i="6"/>
  <c r="K10" i="6"/>
  <c r="H10" i="6"/>
  <c r="E10" i="6"/>
  <c r="Q9" i="6"/>
  <c r="R8" i="6"/>
  <c r="Q8" i="6"/>
  <c r="Q7" i="6"/>
  <c r="Q6" i="6"/>
  <c r="O14" i="5"/>
  <c r="N14" i="5"/>
  <c r="K14" i="5"/>
  <c r="H14" i="5"/>
  <c r="F14" i="5"/>
  <c r="E14" i="5"/>
  <c r="M13" i="5"/>
  <c r="G13" i="5"/>
  <c r="Q6" i="5"/>
  <c r="N10" i="4"/>
  <c r="K10" i="4"/>
  <c r="H10" i="4"/>
  <c r="E10" i="4"/>
  <c r="R9" i="4"/>
  <c r="Q9" i="4"/>
  <c r="R8" i="4"/>
  <c r="Q8" i="4"/>
  <c r="R7" i="4"/>
  <c r="Q7" i="4"/>
  <c r="Q6" i="4"/>
  <c r="N16" i="3"/>
  <c r="K16" i="3"/>
  <c r="H16" i="3"/>
  <c r="J16" i="3" s="1"/>
  <c r="E16" i="3"/>
  <c r="R15" i="3"/>
  <c r="Q15" i="3"/>
  <c r="R14" i="3"/>
  <c r="Q14" i="3"/>
  <c r="R13" i="3"/>
  <c r="Q13" i="3"/>
  <c r="R12" i="3"/>
  <c r="Q12" i="3"/>
  <c r="R11" i="3"/>
  <c r="Q11" i="3"/>
  <c r="Q10" i="3"/>
  <c r="Q9" i="3"/>
  <c r="Q8" i="3"/>
  <c r="Q7" i="3"/>
  <c r="Q6" i="3"/>
  <c r="F29" i="1"/>
  <c r="I29" i="1"/>
  <c r="L29" i="1"/>
  <c r="P29" i="1"/>
  <c r="F31" i="1"/>
  <c r="I31" i="1"/>
  <c r="O31" i="1"/>
  <c r="P31" i="1"/>
  <c r="I32" i="1"/>
  <c r="O32" i="1"/>
  <c r="P32" i="1"/>
  <c r="F33" i="1"/>
  <c r="I33" i="1"/>
  <c r="O33" i="1"/>
  <c r="P33" i="1"/>
  <c r="F34" i="1"/>
  <c r="I34" i="1"/>
  <c r="L34" i="1"/>
  <c r="O34" i="1"/>
  <c r="P34" i="1"/>
  <c r="Q34" i="1"/>
  <c r="T34" i="1" s="1"/>
  <c r="F35" i="1"/>
  <c r="I35" i="1"/>
  <c r="L35" i="1"/>
  <c r="O35" i="1"/>
  <c r="P35" i="1"/>
  <c r="Q35" i="1"/>
  <c r="T35" i="1" s="1"/>
  <c r="F36" i="1"/>
  <c r="I36" i="1"/>
  <c r="L36" i="1"/>
  <c r="O36" i="1"/>
  <c r="P36" i="1"/>
  <c r="Q36" i="1"/>
  <c r="T36" i="1" s="1"/>
  <c r="F37" i="1"/>
  <c r="I37" i="1"/>
  <c r="L37" i="1"/>
  <c r="O37" i="1"/>
  <c r="P37" i="1"/>
  <c r="Q37" i="1"/>
  <c r="T37" i="1" s="1"/>
  <c r="F38" i="1"/>
  <c r="I38" i="1"/>
  <c r="L38" i="1"/>
  <c r="O38" i="1"/>
  <c r="P38" i="1"/>
  <c r="Q38" i="1"/>
  <c r="T38" i="1" s="1"/>
  <c r="D39" i="1"/>
  <c r="G39" i="1"/>
  <c r="I39" i="1" s="1"/>
  <c r="J39" i="1"/>
  <c r="M39" i="1"/>
  <c r="N21" i="2"/>
  <c r="K21" i="2"/>
  <c r="H21" i="2"/>
  <c r="E21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Q13" i="2"/>
  <c r="R12" i="2"/>
  <c r="Q12" i="2"/>
  <c r="Q11" i="2"/>
  <c r="R9" i="2"/>
  <c r="Q9" i="2"/>
  <c r="R7" i="2"/>
  <c r="Q7" i="2"/>
  <c r="Q6" i="2"/>
  <c r="E76" i="1"/>
  <c r="H76" i="1"/>
  <c r="K76" i="1"/>
  <c r="N76" i="1"/>
  <c r="M76" i="1"/>
  <c r="J76" i="1"/>
  <c r="G76" i="1"/>
  <c r="D76" i="1"/>
  <c r="K66" i="1"/>
  <c r="N66" i="1"/>
  <c r="M66" i="1"/>
  <c r="J66" i="1"/>
  <c r="G66" i="1"/>
  <c r="G73" i="1" s="1"/>
  <c r="M55" i="1"/>
  <c r="J55" i="1"/>
  <c r="M45" i="1"/>
  <c r="J45" i="1"/>
  <c r="G45" i="1"/>
  <c r="M27" i="1"/>
  <c r="J27" i="1"/>
  <c r="G27" i="1"/>
  <c r="D66" i="1"/>
  <c r="D73" i="1" s="1"/>
  <c r="D45" i="1"/>
  <c r="D27" i="1"/>
  <c r="Q22" i="1"/>
  <c r="T22" i="1" s="1"/>
  <c r="Q23" i="1"/>
  <c r="T23" i="1" s="1"/>
  <c r="Q24" i="1"/>
  <c r="T24" i="1" s="1"/>
  <c r="Q25" i="1"/>
  <c r="T25" i="1" s="1"/>
  <c r="Q42" i="1"/>
  <c r="Q48" i="1"/>
  <c r="T48" i="1" s="1"/>
  <c r="Q51" i="1"/>
  <c r="T51" i="1" s="1"/>
  <c r="Q53" i="1"/>
  <c r="T53" i="1" s="1"/>
  <c r="Q59" i="1"/>
  <c r="T59" i="1" s="1"/>
  <c r="Q60" i="1"/>
  <c r="T60" i="1" s="1"/>
  <c r="Q63" i="1"/>
  <c r="T63" i="1" s="1"/>
  <c r="Q65" i="1"/>
  <c r="T65" i="1" s="1"/>
  <c r="Q77" i="1"/>
  <c r="T77" i="1" s="1"/>
  <c r="Q78" i="1"/>
  <c r="T78" i="1" s="1"/>
  <c r="P13" i="1"/>
  <c r="P17" i="1"/>
  <c r="P18" i="1"/>
  <c r="P19" i="1"/>
  <c r="P20" i="1"/>
  <c r="P21" i="1"/>
  <c r="P22" i="1"/>
  <c r="P23" i="1"/>
  <c r="P24" i="1"/>
  <c r="P25" i="1"/>
  <c r="P26" i="1"/>
  <c r="P41" i="1"/>
  <c r="P42" i="1"/>
  <c r="P47" i="1"/>
  <c r="P48" i="1"/>
  <c r="P49" i="1"/>
  <c r="P50" i="1"/>
  <c r="P51" i="1"/>
  <c r="P53" i="1"/>
  <c r="P58" i="1"/>
  <c r="P59" i="1"/>
  <c r="P60" i="1"/>
  <c r="P61" i="1"/>
  <c r="P62" i="1"/>
  <c r="P63" i="1"/>
  <c r="P64" i="1"/>
  <c r="P65" i="1"/>
  <c r="P68" i="1"/>
  <c r="P69" i="1"/>
  <c r="P77" i="1"/>
  <c r="P78" i="1"/>
  <c r="P12" i="1"/>
  <c r="O17" i="1"/>
  <c r="O18" i="1"/>
  <c r="O19" i="1"/>
  <c r="O20" i="1"/>
  <c r="O22" i="1"/>
  <c r="O23" i="1"/>
  <c r="O24" i="1"/>
  <c r="O25" i="1"/>
  <c r="O42" i="1"/>
  <c r="O47" i="1"/>
  <c r="O48" i="1"/>
  <c r="O49" i="1"/>
  <c r="O51" i="1"/>
  <c r="O58" i="1"/>
  <c r="O59" i="1"/>
  <c r="O60" i="1"/>
  <c r="O61" i="1"/>
  <c r="O62" i="1"/>
  <c r="O63" i="1"/>
  <c r="O64" i="1"/>
  <c r="O65" i="1"/>
  <c r="O68" i="1"/>
  <c r="O69" i="1"/>
  <c r="O77" i="1"/>
  <c r="O78" i="1"/>
  <c r="O12" i="1"/>
  <c r="L21" i="1"/>
  <c r="L22" i="1"/>
  <c r="L23" i="1"/>
  <c r="L24" i="1"/>
  <c r="L25" i="1"/>
  <c r="L42" i="1"/>
  <c r="L48" i="1"/>
  <c r="L50" i="1"/>
  <c r="L51" i="1"/>
  <c r="L53" i="1"/>
  <c r="L58" i="1"/>
  <c r="L59" i="1"/>
  <c r="L60" i="1"/>
  <c r="L61" i="1"/>
  <c r="L62" i="1"/>
  <c r="L63" i="1"/>
  <c r="L64" i="1"/>
  <c r="L65" i="1"/>
  <c r="L77" i="1"/>
  <c r="L78" i="1"/>
  <c r="L12" i="1"/>
  <c r="I42" i="1"/>
  <c r="I47" i="1"/>
  <c r="I48" i="1"/>
  <c r="I49" i="1"/>
  <c r="I50" i="1"/>
  <c r="I51" i="1"/>
  <c r="I53" i="1"/>
  <c r="I58" i="1"/>
  <c r="I59" i="1"/>
  <c r="I60" i="1"/>
  <c r="I61" i="1"/>
  <c r="I62" i="1"/>
  <c r="I63" i="1"/>
  <c r="I64" i="1"/>
  <c r="I65" i="1"/>
  <c r="I77" i="1"/>
  <c r="I78" i="1"/>
  <c r="I17" i="1"/>
  <c r="I18" i="1"/>
  <c r="I19" i="1"/>
  <c r="I20" i="1"/>
  <c r="I21" i="1"/>
  <c r="I22" i="1"/>
  <c r="I23" i="1"/>
  <c r="I24" i="1"/>
  <c r="I25" i="1"/>
  <c r="I26" i="1"/>
  <c r="I12" i="1"/>
  <c r="F17" i="1"/>
  <c r="F18" i="1"/>
  <c r="F19" i="1"/>
  <c r="F20" i="1"/>
  <c r="F21" i="1"/>
  <c r="F22" i="1"/>
  <c r="F23" i="1"/>
  <c r="F24" i="1"/>
  <c r="F25" i="1"/>
  <c r="F42" i="1"/>
  <c r="F47" i="1"/>
  <c r="F48" i="1"/>
  <c r="F49" i="1"/>
  <c r="F50" i="1"/>
  <c r="F51" i="1"/>
  <c r="F59" i="1"/>
  <c r="F60" i="1"/>
  <c r="F63" i="1"/>
  <c r="F65" i="1"/>
  <c r="F68" i="1"/>
  <c r="F77" i="1"/>
  <c r="F78" i="1"/>
  <c r="N21" i="1" l="1"/>
  <c r="P15" i="2"/>
  <c r="N50" i="1"/>
  <c r="R9" i="5"/>
  <c r="S9" i="5" s="1"/>
  <c r="P9" i="5"/>
  <c r="O20" i="2"/>
  <c r="I78" i="2"/>
  <c r="H79" i="4"/>
  <c r="I78" i="4"/>
  <c r="O6" i="4"/>
  <c r="L9" i="6"/>
  <c r="O6" i="3"/>
  <c r="O16" i="3" s="1"/>
  <c r="P16" i="3" s="1"/>
  <c r="I86" i="5"/>
  <c r="L6" i="5"/>
  <c r="K49" i="1"/>
  <c r="R8" i="5"/>
  <c r="S8" i="5" s="1"/>
  <c r="M8" i="5"/>
  <c r="J8" i="5"/>
  <c r="L6" i="4"/>
  <c r="K18" i="1"/>
  <c r="M12" i="2"/>
  <c r="L20" i="2"/>
  <c r="K20" i="1"/>
  <c r="M14" i="2"/>
  <c r="L13" i="2"/>
  <c r="K17" i="1"/>
  <c r="M11" i="2"/>
  <c r="K15" i="1"/>
  <c r="M9" i="2"/>
  <c r="K13" i="1"/>
  <c r="M7" i="2"/>
  <c r="F62" i="1"/>
  <c r="M9" i="3"/>
  <c r="K32" i="1"/>
  <c r="L32" i="1" s="1"/>
  <c r="M8" i="3"/>
  <c r="K31" i="1"/>
  <c r="R9" i="3"/>
  <c r="S9" i="3" s="1"/>
  <c r="K68" i="1"/>
  <c r="M6" i="6"/>
  <c r="K69" i="1"/>
  <c r="L69" i="1" s="1"/>
  <c r="M7" i="6"/>
  <c r="R8" i="3"/>
  <c r="S8" i="3" s="1"/>
  <c r="L10" i="6"/>
  <c r="M10" i="6" s="1"/>
  <c r="K71" i="1"/>
  <c r="L71" i="1" s="1"/>
  <c r="M9" i="6"/>
  <c r="L10" i="3"/>
  <c r="K33" i="1" s="1"/>
  <c r="R7" i="6"/>
  <c r="S7" i="6" s="1"/>
  <c r="F58" i="1"/>
  <c r="F64" i="1"/>
  <c r="I6" i="6"/>
  <c r="J6" i="6" s="1"/>
  <c r="F7" i="3"/>
  <c r="E30" i="1" s="1"/>
  <c r="S11" i="3"/>
  <c r="S15" i="3"/>
  <c r="I47" i="5"/>
  <c r="I9" i="6"/>
  <c r="I6" i="4"/>
  <c r="I10" i="4" s="1"/>
  <c r="J10" i="4" s="1"/>
  <c r="H70" i="1"/>
  <c r="J8" i="6"/>
  <c r="H69" i="1"/>
  <c r="I69" i="1" s="1"/>
  <c r="J7" i="6"/>
  <c r="F9" i="6"/>
  <c r="R10" i="2"/>
  <c r="S10" i="2" s="1"/>
  <c r="I37" i="5"/>
  <c r="I11" i="5"/>
  <c r="I8" i="2"/>
  <c r="H14" i="1" s="1"/>
  <c r="I14" i="1" s="1"/>
  <c r="E66" i="1"/>
  <c r="F66" i="1" s="1"/>
  <c r="Q61" i="1"/>
  <c r="T61" i="1" s="1"/>
  <c r="T66" i="1" s="1"/>
  <c r="G7" i="3"/>
  <c r="F61" i="1"/>
  <c r="F20" i="2"/>
  <c r="F6" i="2"/>
  <c r="F6" i="4"/>
  <c r="E32" i="1"/>
  <c r="G9" i="3"/>
  <c r="T76" i="1"/>
  <c r="T79" i="1" s="1"/>
  <c r="M56" i="1"/>
  <c r="R14" i="7"/>
  <c r="S14" i="7" s="1"/>
  <c r="G14" i="7"/>
  <c r="E69" i="1"/>
  <c r="G7" i="6"/>
  <c r="R63" i="1"/>
  <c r="I37" i="4"/>
  <c r="I47" i="3"/>
  <c r="R22" i="1"/>
  <c r="P55" i="1"/>
  <c r="R58" i="1"/>
  <c r="R37" i="1"/>
  <c r="G56" i="1"/>
  <c r="Q10" i="6"/>
  <c r="S8" i="6"/>
  <c r="G14" i="5"/>
  <c r="S8" i="4"/>
  <c r="I45" i="4"/>
  <c r="I67" i="3"/>
  <c r="I30" i="3"/>
  <c r="I37" i="3"/>
  <c r="S13" i="3"/>
  <c r="O76" i="1"/>
  <c r="P76" i="1" s="1"/>
  <c r="R62" i="1"/>
  <c r="R24" i="1"/>
  <c r="R59" i="1"/>
  <c r="J56" i="1"/>
  <c r="D56" i="1"/>
  <c r="P72" i="1"/>
  <c r="F76" i="1"/>
  <c r="O66" i="1"/>
  <c r="L66" i="1"/>
  <c r="I76" i="1"/>
  <c r="R35" i="1"/>
  <c r="P27" i="1"/>
  <c r="M73" i="1"/>
  <c r="R25" i="1"/>
  <c r="R23" i="1"/>
  <c r="H79" i="1"/>
  <c r="R36" i="1"/>
  <c r="R34" i="1"/>
  <c r="P39" i="1"/>
  <c r="J73" i="1"/>
  <c r="Q21" i="2"/>
  <c r="S9" i="2"/>
  <c r="S12" i="2"/>
  <c r="S14" i="2"/>
  <c r="S16" i="2"/>
  <c r="S18" i="2"/>
  <c r="I40" i="2"/>
  <c r="H79" i="2"/>
  <c r="I47" i="2"/>
  <c r="I63" i="2"/>
  <c r="Q10" i="4"/>
  <c r="R77" i="1"/>
  <c r="L76" i="1"/>
  <c r="P66" i="1"/>
  <c r="I117" i="6"/>
  <c r="R42" i="1"/>
  <c r="I23" i="4"/>
  <c r="R65" i="1"/>
  <c r="R53" i="1"/>
  <c r="R48" i="1"/>
  <c r="P45" i="1"/>
  <c r="N73" i="1"/>
  <c r="S7" i="4"/>
  <c r="S9" i="4"/>
  <c r="I72" i="6"/>
  <c r="I103" i="6"/>
  <c r="I66" i="1"/>
  <c r="R78" i="1"/>
  <c r="R64" i="1"/>
  <c r="R60" i="1"/>
  <c r="R51" i="1"/>
  <c r="S7" i="2"/>
  <c r="S11" i="2"/>
  <c r="S15" i="2"/>
  <c r="S17" i="2"/>
  <c r="S19" i="2"/>
  <c r="R38" i="1"/>
  <c r="S12" i="3"/>
  <c r="S14" i="3"/>
  <c r="P14" i="5"/>
  <c r="P10" i="6"/>
  <c r="I42" i="6"/>
  <c r="H118" i="6"/>
  <c r="H68" i="3"/>
  <c r="Q14" i="5"/>
  <c r="Q16" i="3"/>
  <c r="Q76" i="1"/>
  <c r="I87" i="5" l="1"/>
  <c r="O21" i="2"/>
  <c r="P21" i="2" s="1"/>
  <c r="N26" i="1"/>
  <c r="O26" i="1" s="1"/>
  <c r="P20" i="2"/>
  <c r="O50" i="1"/>
  <c r="Q50" i="1"/>
  <c r="N55" i="1"/>
  <c r="I79" i="4"/>
  <c r="Q21" i="1"/>
  <c r="O21" i="1"/>
  <c r="O10" i="4"/>
  <c r="P10" i="4" s="1"/>
  <c r="N41" i="1"/>
  <c r="P6" i="4"/>
  <c r="N29" i="1"/>
  <c r="P6" i="3"/>
  <c r="R6" i="3"/>
  <c r="S6" i="3" s="1"/>
  <c r="H52" i="1"/>
  <c r="R11" i="5"/>
  <c r="S11" i="5" s="1"/>
  <c r="Q49" i="1"/>
  <c r="L49" i="1"/>
  <c r="R6" i="5"/>
  <c r="S6" i="5" s="1"/>
  <c r="K47" i="1"/>
  <c r="M6" i="5"/>
  <c r="L14" i="5"/>
  <c r="L10" i="4"/>
  <c r="M10" i="4" s="1"/>
  <c r="K41" i="1"/>
  <c r="M6" i="4"/>
  <c r="F16" i="3"/>
  <c r="G16" i="3" s="1"/>
  <c r="L16" i="3"/>
  <c r="M16" i="3" s="1"/>
  <c r="L17" i="1"/>
  <c r="Q17" i="1"/>
  <c r="K19" i="1"/>
  <c r="M13" i="2"/>
  <c r="R13" i="2"/>
  <c r="S13" i="2" s="1"/>
  <c r="L13" i="1"/>
  <c r="Q13" i="1"/>
  <c r="Q20" i="1"/>
  <c r="L20" i="1"/>
  <c r="K26" i="1"/>
  <c r="L26" i="1" s="1"/>
  <c r="M20" i="2"/>
  <c r="Q15" i="1"/>
  <c r="L15" i="1"/>
  <c r="L21" i="2"/>
  <c r="M21" i="2" s="1"/>
  <c r="L18" i="1"/>
  <c r="Q18" i="1"/>
  <c r="R6" i="6"/>
  <c r="S6" i="6" s="1"/>
  <c r="H68" i="1"/>
  <c r="Q68" i="1" s="1"/>
  <c r="Q33" i="1"/>
  <c r="R33" i="1" s="1"/>
  <c r="L33" i="1"/>
  <c r="K39" i="1"/>
  <c r="L31" i="1"/>
  <c r="Q31" i="1"/>
  <c r="I10" i="6"/>
  <c r="J10" i="6" s="1"/>
  <c r="K72" i="1"/>
  <c r="L68" i="1"/>
  <c r="M10" i="3"/>
  <c r="R10" i="3"/>
  <c r="S10" i="3" s="1"/>
  <c r="R7" i="3"/>
  <c r="S7" i="3" s="1"/>
  <c r="J9" i="6"/>
  <c r="H71" i="1"/>
  <c r="I71" i="1" s="1"/>
  <c r="R61" i="1"/>
  <c r="Q66" i="1"/>
  <c r="R66" i="1" s="1"/>
  <c r="J6" i="4"/>
  <c r="R8" i="2"/>
  <c r="S8" i="2" s="1"/>
  <c r="H41" i="1"/>
  <c r="I41" i="1" s="1"/>
  <c r="I21" i="2"/>
  <c r="J21" i="2" s="1"/>
  <c r="I70" i="1"/>
  <c r="Q70" i="1"/>
  <c r="I68" i="3"/>
  <c r="Q16" i="1"/>
  <c r="R16" i="1" s="1"/>
  <c r="I16" i="1"/>
  <c r="J11" i="5"/>
  <c r="I14" i="5"/>
  <c r="H27" i="1"/>
  <c r="Q14" i="1"/>
  <c r="E12" i="1"/>
  <c r="G6" i="2"/>
  <c r="F21" i="2"/>
  <c r="R6" i="2"/>
  <c r="S6" i="2" s="1"/>
  <c r="F32" i="1"/>
  <c r="Q32" i="1"/>
  <c r="E26" i="1"/>
  <c r="G20" i="2"/>
  <c r="R20" i="2"/>
  <c r="S20" i="2" s="1"/>
  <c r="Q30" i="1"/>
  <c r="F30" i="1"/>
  <c r="E39" i="1"/>
  <c r="E41" i="1"/>
  <c r="G6" i="4"/>
  <c r="R6" i="4"/>
  <c r="S6" i="4" s="1"/>
  <c r="F10" i="4"/>
  <c r="E71" i="1"/>
  <c r="E72" i="1" s="1"/>
  <c r="E73" i="1" s="1"/>
  <c r="G9" i="6"/>
  <c r="F10" i="6"/>
  <c r="R9" i="6"/>
  <c r="S9" i="6" s="1"/>
  <c r="Q69" i="1"/>
  <c r="F69" i="1"/>
  <c r="I118" i="6"/>
  <c r="G74" i="1"/>
  <c r="M74" i="1"/>
  <c r="M79" i="1" s="1"/>
  <c r="P73" i="1"/>
  <c r="J74" i="1"/>
  <c r="R76" i="1"/>
  <c r="I79" i="2"/>
  <c r="N79" i="1"/>
  <c r="D74" i="1"/>
  <c r="D79" i="1" s="1"/>
  <c r="P56" i="1"/>
  <c r="J79" i="1"/>
  <c r="O73" i="1"/>
  <c r="O55" i="1"/>
  <c r="T21" i="1" l="1"/>
  <c r="R21" i="1"/>
  <c r="T50" i="1"/>
  <c r="R50" i="1"/>
  <c r="N27" i="1"/>
  <c r="O27" i="1" s="1"/>
  <c r="N45" i="1"/>
  <c r="O45" i="1" s="1"/>
  <c r="O41" i="1"/>
  <c r="I68" i="1"/>
  <c r="N39" i="1"/>
  <c r="Q39" i="1" s="1"/>
  <c r="R39" i="1" s="1"/>
  <c r="O29" i="1"/>
  <c r="Q29" i="1"/>
  <c r="K27" i="1"/>
  <c r="L27" i="1" s="1"/>
  <c r="R14" i="5"/>
  <c r="S14" i="5" s="1"/>
  <c r="M14" i="5"/>
  <c r="K55" i="1"/>
  <c r="L55" i="1" s="1"/>
  <c r="Q47" i="1"/>
  <c r="L47" i="1"/>
  <c r="T49" i="1"/>
  <c r="R49" i="1"/>
  <c r="K45" i="1"/>
  <c r="L45" i="1" s="1"/>
  <c r="L41" i="1"/>
  <c r="R16" i="3"/>
  <c r="S16" i="3" s="1"/>
  <c r="T13" i="1"/>
  <c r="R13" i="1"/>
  <c r="T15" i="1"/>
  <c r="R15" i="1"/>
  <c r="Q19" i="1"/>
  <c r="L19" i="1"/>
  <c r="T17" i="1"/>
  <c r="R17" i="1"/>
  <c r="T18" i="1"/>
  <c r="R18" i="1"/>
  <c r="T20" i="1"/>
  <c r="R20" i="1"/>
  <c r="T31" i="1"/>
  <c r="R31" i="1"/>
  <c r="L39" i="1"/>
  <c r="L72" i="1"/>
  <c r="K73" i="1"/>
  <c r="H72" i="1"/>
  <c r="H73" i="1" s="1"/>
  <c r="I73" i="1" s="1"/>
  <c r="T16" i="1"/>
  <c r="T70" i="1"/>
  <c r="R70" i="1"/>
  <c r="H45" i="1"/>
  <c r="I45" i="1" s="1"/>
  <c r="T68" i="1"/>
  <c r="R68" i="1"/>
  <c r="J14" i="5"/>
  <c r="H55" i="1"/>
  <c r="Q52" i="1"/>
  <c r="I52" i="1"/>
  <c r="T14" i="1"/>
  <c r="R14" i="1"/>
  <c r="I27" i="1"/>
  <c r="E27" i="1"/>
  <c r="Q12" i="1"/>
  <c r="F12" i="1"/>
  <c r="E45" i="1"/>
  <c r="Q41" i="1"/>
  <c r="F41" i="1"/>
  <c r="T30" i="1"/>
  <c r="R30" i="1"/>
  <c r="R32" i="1"/>
  <c r="R21" i="2"/>
  <c r="S21" i="2" s="1"/>
  <c r="G21" i="2"/>
  <c r="F39" i="1"/>
  <c r="Q26" i="1"/>
  <c r="F26" i="1"/>
  <c r="R10" i="4"/>
  <c r="S10" i="4" s="1"/>
  <c r="G10" i="4"/>
  <c r="R69" i="1"/>
  <c r="T69" i="1"/>
  <c r="F72" i="1"/>
  <c r="R10" i="6"/>
  <c r="S10" i="6" s="1"/>
  <c r="G10" i="6"/>
  <c r="Q71" i="1"/>
  <c r="F71" i="1"/>
  <c r="O79" i="1"/>
  <c r="M80" i="1"/>
  <c r="J80" i="1"/>
  <c r="G79" i="1"/>
  <c r="P74" i="1"/>
  <c r="P79" i="1" s="1"/>
  <c r="P80" i="1" s="1"/>
  <c r="D80" i="1"/>
  <c r="K79" i="1"/>
  <c r="T29" i="1" l="1"/>
  <c r="T39" i="1" s="1"/>
  <c r="R29" i="1"/>
  <c r="N56" i="1"/>
  <c r="O39" i="1"/>
  <c r="T47" i="1"/>
  <c r="R47" i="1"/>
  <c r="K56" i="1"/>
  <c r="L56" i="1" s="1"/>
  <c r="T19" i="1"/>
  <c r="R19" i="1"/>
  <c r="H56" i="1"/>
  <c r="I56" i="1" s="1"/>
  <c r="L73" i="1"/>
  <c r="Q72" i="1"/>
  <c r="R72" i="1" s="1"/>
  <c r="I72" i="1"/>
  <c r="T52" i="1"/>
  <c r="T55" i="1" s="1"/>
  <c r="R52" i="1"/>
  <c r="I55" i="1"/>
  <c r="Q55" i="1"/>
  <c r="R55" i="1" s="1"/>
  <c r="T26" i="1"/>
  <c r="R26" i="1"/>
  <c r="T41" i="1"/>
  <c r="T45" i="1" s="1"/>
  <c r="R41" i="1"/>
  <c r="T12" i="1"/>
  <c r="R12" i="1"/>
  <c r="Q45" i="1"/>
  <c r="R45" i="1" s="1"/>
  <c r="E56" i="1"/>
  <c r="F45" i="1"/>
  <c r="Q27" i="1"/>
  <c r="R27" i="1" s="1"/>
  <c r="F27" i="1"/>
  <c r="R71" i="1"/>
  <c r="T71" i="1"/>
  <c r="T72" i="1" s="1"/>
  <c r="T73" i="1" s="1"/>
  <c r="F73" i="1"/>
  <c r="Q73" i="1"/>
  <c r="R73" i="1" s="1"/>
  <c r="I79" i="1"/>
  <c r="G80" i="1"/>
  <c r="L79" i="1"/>
  <c r="Q79" i="1"/>
  <c r="N74" i="1" l="1"/>
  <c r="O56" i="1"/>
  <c r="K74" i="1"/>
  <c r="L74" i="1" s="1"/>
  <c r="T27" i="1"/>
  <c r="T56" i="1" s="1"/>
  <c r="T74" i="1" s="1"/>
  <c r="T80" i="1" s="1"/>
  <c r="H74" i="1"/>
  <c r="H80" i="1" s="1"/>
  <c r="Q56" i="1"/>
  <c r="R56" i="1" s="1"/>
  <c r="F56" i="1"/>
  <c r="E74" i="1"/>
  <c r="E79" i="1"/>
  <c r="R79" i="1"/>
  <c r="N80" i="1" l="1"/>
  <c r="O80" i="1" s="1"/>
  <c r="O74" i="1"/>
  <c r="K80" i="1"/>
  <c r="L80" i="1" s="1"/>
  <c r="I74" i="1"/>
  <c r="Q74" i="1"/>
  <c r="R74" i="1" s="1"/>
  <c r="I80" i="1"/>
  <c r="F74" i="1"/>
  <c r="E80" i="1"/>
  <c r="F80" i="1" s="1"/>
  <c r="F79" i="1"/>
  <c r="Q80" i="1" l="1"/>
  <c r="R80" i="1" s="1"/>
  <c r="H82" i="1"/>
</calcChain>
</file>

<file path=xl/sharedStrings.xml><?xml version="1.0" encoding="utf-8"?>
<sst xmlns="http://schemas.openxmlformats.org/spreadsheetml/2006/main" count="2134" uniqueCount="600">
  <si>
    <t xml:space="preserve">Date du reporting : </t>
  </si>
  <si>
    <t xml:space="preserve">Suivi financier global </t>
  </si>
  <si>
    <t xml:space="preserve"> Ligne Budget </t>
  </si>
  <si>
    <t>Désignation</t>
  </si>
  <si>
    <t xml:space="preserve">Articles </t>
  </si>
  <si>
    <t>TOTAL</t>
  </si>
  <si>
    <t>Prévu</t>
  </si>
  <si>
    <t>Réalisé</t>
  </si>
  <si>
    <t>Solde</t>
  </si>
  <si>
    <t>Sous-total Résultat 1</t>
  </si>
  <si>
    <t>Sous-total Résultat 2</t>
  </si>
  <si>
    <t>Sous-total Résultat 3</t>
  </si>
  <si>
    <t>Sous-total Résultat 4</t>
  </si>
  <si>
    <t>Sous-total Résultat 5</t>
  </si>
  <si>
    <t>I/ Total Résultat 1.2.3.4.5</t>
  </si>
  <si>
    <t>Sous total Frais de personnel</t>
  </si>
  <si>
    <t>Budget prévisionnel terrain</t>
  </si>
  <si>
    <t>Dépenses d'encadrement</t>
  </si>
  <si>
    <t>III/ Total hors terrain</t>
  </si>
  <si>
    <t xml:space="preserve">Budget prévisionnel total </t>
  </si>
  <si>
    <t xml:space="preserve">Résultat 1 : </t>
  </si>
  <si>
    <t xml:space="preserve">Résultat 2 : </t>
  </si>
  <si>
    <t>Résultat 3 :</t>
  </si>
  <si>
    <t xml:space="preserve">Résultat 4 : </t>
  </si>
  <si>
    <t>R1.1</t>
  </si>
  <si>
    <t>R1.4</t>
  </si>
  <si>
    <t>R2.1</t>
  </si>
  <si>
    <t>R2.2</t>
  </si>
  <si>
    <t>R2.3</t>
  </si>
  <si>
    <t>R2.4</t>
  </si>
  <si>
    <t>R3.1</t>
  </si>
  <si>
    <t>R4.1</t>
  </si>
  <si>
    <t>R4.2</t>
  </si>
  <si>
    <t>RH1</t>
  </si>
  <si>
    <t>RH2</t>
  </si>
  <si>
    <t>RH3</t>
  </si>
  <si>
    <t>FB1</t>
  </si>
  <si>
    <t>FB2</t>
  </si>
  <si>
    <t>FB3</t>
  </si>
  <si>
    <t>FB4</t>
  </si>
  <si>
    <t>Frais de ressources humaines</t>
  </si>
  <si>
    <t xml:space="preserve">Durée du projet : </t>
  </si>
  <si>
    <t xml:space="preserve">Date de début de projet : </t>
  </si>
  <si>
    <t>T1 =</t>
  </si>
  <si>
    <t xml:space="preserve">T2 = </t>
  </si>
  <si>
    <t xml:space="preserve">T3 = </t>
  </si>
  <si>
    <t xml:space="preserve">T4 = </t>
  </si>
  <si>
    <t>Taux de change</t>
  </si>
  <si>
    <t>Facture N°</t>
  </si>
  <si>
    <t xml:space="preserve">Date </t>
  </si>
  <si>
    <t>Montant en EUR</t>
  </si>
  <si>
    <t>Description</t>
  </si>
  <si>
    <t xml:space="preserve">Ligne budgétaire </t>
  </si>
  <si>
    <t>Total 2018</t>
  </si>
  <si>
    <t>Montant en (monnaie locale)</t>
  </si>
  <si>
    <t xml:space="preserve">Total TRIM 3 </t>
  </si>
  <si>
    <t xml:space="preserve">Total TRIM 4 </t>
  </si>
  <si>
    <t xml:space="preserve">Total TRIM 2 </t>
  </si>
  <si>
    <t xml:space="preserve">Total TRIM 1 </t>
  </si>
  <si>
    <t>FACTURES année</t>
  </si>
  <si>
    <t>Total année</t>
  </si>
  <si>
    <t>Nom partenaire</t>
  </si>
  <si>
    <t>Titre projet</t>
  </si>
  <si>
    <t xml:space="preserve">Frais de bureau </t>
  </si>
  <si>
    <t xml:space="preserve">Sous-total  Frais de bureau </t>
  </si>
  <si>
    <t>II/ Total frais de bureau + frais de ressources humaines</t>
  </si>
  <si>
    <t>Imprévus
(plafond de 5% du total de II/)</t>
  </si>
  <si>
    <t>ANNEXE 5 – PLANIFICATION OERATIONNELLE</t>
  </si>
  <si>
    <t>Résultat 1 : Les conditions de vie des enfants talibés sont améliorées par l'accès à un ensemble de services  à base communautaire</t>
  </si>
  <si>
    <t>Sélectionner 5 nouveaux daaras et diagnostiquer leurs besoins prioritaires</t>
  </si>
  <si>
    <t>Réhabiliter les logements des enfants talibés dans les 5 daaras nouvellement enrôlés</t>
  </si>
  <si>
    <t>Assurer l'accès aux soins médicaux des talibés par l’instauration d’un système de suivi médical et sanitaire par les structures de santé</t>
  </si>
  <si>
    <t xml:space="preserve"> Former 10 jeunes talibés des 5 daaras (2 pour chaque) aux premiers secours et renforcer les 30 déjà formés lors de la première phase</t>
  </si>
  <si>
    <t>Inscrire à l’état civil 1000 enfants talibés en collaboration avec les CDPE et CVPE des autres départements d'où viennent les talibés pour  l'identification des parents</t>
  </si>
  <si>
    <t>Former les 5 maitres coraniques à l'entreprenariat</t>
  </si>
  <si>
    <t>Mettre en place des AGR financés par crédit sans intérêts dans les 5 nouveaux daaras et renforcer celles des 15 anciens daaras</t>
  </si>
  <si>
    <t>R1.5</t>
  </si>
  <si>
    <t>R1.6</t>
  </si>
  <si>
    <t>R1.7</t>
  </si>
  <si>
    <t>Résultat 2 : l'action des autorités locales et des collectivités locales dans les daaras est renforcée</t>
  </si>
  <si>
    <t xml:space="preserve">Etablir des parrainages par des associations ou groupes de solidarité et les ndeyou daara </t>
  </si>
  <si>
    <t>Organiser des campagnes de sensibilisations au travers de repas communautaire, de forums et de mobilisations sociales</t>
  </si>
  <si>
    <t xml:space="preserve">organiser une rencontre pour Élaborer un plan de plaidoyer avec l’aide des conseillers municipaux à destination des autorités locales et municipales </t>
  </si>
  <si>
    <t xml:space="preserve">Mettre en place des comités de veille et de protection de l’enfant (CVPE) pour jouer un rôle sensibilisation, veille et alerte au niveau communautaire </t>
  </si>
  <si>
    <t xml:space="preserve"> Mettre en place un système d'alerte, de signalement, et de suivi et d'évaluation des solutions apportées en cas d'abus et l'exploitation des enfants </t>
  </si>
  <si>
    <t>Organiser un atelier (3jours) de renforcement de capacités de 10 femmes et  jeunes relais des nouveaux villages enrôlés sur le leadership communautaire axé à la lutte contre les PFTE</t>
  </si>
  <si>
    <t>R2.5</t>
  </si>
  <si>
    <t>R2.6</t>
  </si>
  <si>
    <t>Résultat 3 :La prise de conscience et l'implication de la communauté, des leaders et des autorités locales sur le droit à une éducation de qualité, la lutte contre les abus et les PFTE est renforcée</t>
  </si>
  <si>
    <t>Organiser des activités de sensibilisation auprès des bénéficiaires directs du projet</t>
  </si>
  <si>
    <t>Résultat 4 : Les conditions et les contenus d’apprentissage des enfants sont améliorés</t>
  </si>
  <si>
    <t xml:space="preserve"> Intégrer les nouveaux maitres coraniques au comité pédagogique avec l'IEF, l'association des maitres coraniques, la coordination des directeurs d'écoles et le centre national d'orientation scolaire et professionnelle</t>
  </si>
  <si>
    <t>Organiser des ateliers d'animation pédagogiques bimestriels  avec les moniteurs des classes d’alphabétisation dans les daaras</t>
  </si>
  <si>
    <t>Mettre en œuvre la diversification des offres d’apprentissage dans les Daaras (français, écriture langue nationale, techniques manuelles, connaissance du monde)</t>
  </si>
  <si>
    <t>Fournir une formation professionnelle ou un parcours d’apprentissage aux jeunes talibés de plus de 15 ans pour les accompagner dans un processus d’insertion socioprofessionnelle</t>
  </si>
  <si>
    <t>RH4</t>
  </si>
  <si>
    <t xml:space="preserve"> indemnité coordonnateur</t>
  </si>
  <si>
    <t xml:space="preserve">contribution indemnité chargé de suivi </t>
  </si>
  <si>
    <t>contribution indemnité comptable</t>
  </si>
  <si>
    <t xml:space="preserve"> indemnité 4 animateurs </t>
  </si>
  <si>
    <t>transport</t>
  </si>
  <si>
    <t>téléphone</t>
  </si>
  <si>
    <t>electricité</t>
  </si>
  <si>
    <t>fourniture de bureau</t>
  </si>
  <si>
    <t>frais bancaires</t>
  </si>
  <si>
    <t>Location bureau</t>
  </si>
  <si>
    <t xml:space="preserve">frais BRS </t>
  </si>
  <si>
    <t>IPM</t>
  </si>
  <si>
    <t>FB5</t>
  </si>
  <si>
    <t>FB6</t>
  </si>
  <si>
    <t>FB7</t>
  </si>
  <si>
    <t>FB8</t>
  </si>
  <si>
    <t>Audit</t>
  </si>
  <si>
    <t>matériels</t>
  </si>
  <si>
    <t>déjeuner</t>
  </si>
  <si>
    <t>salle</t>
  </si>
  <si>
    <t>formateurs</t>
  </si>
  <si>
    <t>restauration</t>
  </si>
  <si>
    <t>personnes ressources</t>
  </si>
  <si>
    <t>Organiser 200 causeries éducatives avec les parents dans les localités des 20 daaras sur les abus, les PFTE, la mendicité, l'éducation, la protection et les droits des enfants</t>
  </si>
  <si>
    <t>Dérouler 15 émissions radios sur la protection des enfants</t>
  </si>
  <si>
    <t>Produire 5 reportages video à diffuser dans les télévisions et réseaux sociaux</t>
  </si>
  <si>
    <t>matériels pédagogiques</t>
  </si>
  <si>
    <t>indemnités de 15 moniteurs</t>
  </si>
  <si>
    <t>transport superviseur</t>
  </si>
  <si>
    <t>2 motos</t>
  </si>
  <si>
    <t>RESSOURCES HUMAINES :</t>
  </si>
  <si>
    <t>FONCTIONNEMENT</t>
  </si>
  <si>
    <t>FRAIS DENCADREMENT</t>
  </si>
  <si>
    <t>Sous-total frais d'encadrement</t>
  </si>
  <si>
    <t>R1.2.1</t>
  </si>
  <si>
    <t>R1.2.2</t>
  </si>
  <si>
    <t>Appui kits alimentaires</t>
  </si>
  <si>
    <t>R1.3.1</t>
  </si>
  <si>
    <t>R1.3.2</t>
  </si>
  <si>
    <t>Appui kits hygienique</t>
  </si>
  <si>
    <t>R4.3.1</t>
  </si>
  <si>
    <t>R4.3.2</t>
  </si>
  <si>
    <t>denrées</t>
  </si>
  <si>
    <t>R4.4.1</t>
  </si>
  <si>
    <t>R4.4.2</t>
  </si>
  <si>
    <t>Date</t>
  </si>
  <si>
    <t xml:space="preserve">budget activité résultat 1 et 2 </t>
  </si>
  <si>
    <t xml:space="preserve">budget de fonctionnement </t>
  </si>
  <si>
    <t>budget activités résultat 2</t>
  </si>
  <si>
    <t>budget activité du résultat 4</t>
  </si>
  <si>
    <t>budget activité du résultat 3</t>
  </si>
  <si>
    <t xml:space="preserve">budget de fonctionnement mois de mars </t>
  </si>
  <si>
    <t>No.</t>
  </si>
  <si>
    <t>contribution animateur Ibrahima Hamidou Thiam</t>
  </si>
  <si>
    <t xml:space="preserve">contribution animatrice Awa dieye </t>
  </si>
  <si>
    <t>contribution animateur Samba Ndiaye Niang</t>
  </si>
  <si>
    <t xml:space="preserve">contribution animateur Oumar A Diattara </t>
  </si>
  <si>
    <t>achat de carburant</t>
  </si>
  <si>
    <t xml:space="preserve">achat de denrées alimentaire repas communautaire </t>
  </si>
  <si>
    <t xml:space="preserve">prise en charge préparation repas communautaire </t>
  </si>
  <si>
    <t xml:space="preserve">prise en charge transport denées </t>
  </si>
  <si>
    <t xml:space="preserve">prise en charge déplacement presse radio communautaire </t>
  </si>
  <si>
    <t xml:space="preserve">achat de fournitures de bureau </t>
  </si>
  <si>
    <t xml:space="preserve">prise en charge aniation activité de sensibilisation maimouna sow </t>
  </si>
  <si>
    <t>prise en charge aniation activité de sensibilisation moussa deme</t>
  </si>
  <si>
    <t xml:space="preserve">prise en charge collation </t>
  </si>
  <si>
    <t>prise en charge transport awa dieye</t>
  </si>
  <si>
    <t xml:space="preserve">achat de matériels d'hygiéne </t>
  </si>
  <si>
    <t xml:space="preserve">achat de matériels plomberie </t>
  </si>
  <si>
    <t xml:space="preserve">main d'œuvre montage </t>
  </si>
  <si>
    <t xml:space="preserve">achat de produits d'hygiéne </t>
  </si>
  <si>
    <t xml:space="preserve">prise en charge transport matériels </t>
  </si>
  <si>
    <t xml:space="preserve">prise en charge transport bineta dia </t>
  </si>
  <si>
    <t xml:space="preserve">prise en charge transport Moctar Ba pour selection de 5 nouveaux daaras </t>
  </si>
  <si>
    <t xml:space="preserve">prise en charge transport Fatimata Aw selection de 5 nouveaux daaras </t>
  </si>
  <si>
    <t xml:space="preserve">prise en charge transport Bineta Dia pour selection de 5 nouveaux daaras </t>
  </si>
  <si>
    <t xml:space="preserve">prise en charge transport Oumar Diattara pour selection de 5 nouveaux daaras </t>
  </si>
  <si>
    <t xml:space="preserve">prise en charge transport Demba guissé pour selection de 5 nouveaux daaras </t>
  </si>
  <si>
    <t xml:space="preserve">prise en charge transport Awa Dieye pour selection de 5 nouveaux daaras </t>
  </si>
  <si>
    <t xml:space="preserve">prise en charge raffraichissement journée de restitution de l'enquete </t>
  </si>
  <si>
    <t xml:space="preserve">prise en charge technicien horticole suivi agr maraichage </t>
  </si>
  <si>
    <t xml:space="preserve">prise en charge technicien elevage suivi agr elevage </t>
  </si>
  <si>
    <t>contribution  animateur  hamidou thiam</t>
  </si>
  <si>
    <t>paiment loyer du mois de janvier 2020</t>
  </si>
  <si>
    <t>budget fonctionnement du mois de janvier 2020</t>
  </si>
  <si>
    <t>contribution animatrice awa dieye janvier 2020</t>
  </si>
  <si>
    <t>paiement retenues brs des agents du projet du mois de janvier 2020</t>
  </si>
  <si>
    <t>paiement retenues  IR et TRIMF  des agents du projet du mois de janvier 2020</t>
  </si>
  <si>
    <t>contribution  animateur babacar gacko</t>
  </si>
  <si>
    <t>contribution coordonnateur abdoulaye sow</t>
  </si>
  <si>
    <t>contribution abdoulaye sow ,babacar gacko et samaba ndiaye niang</t>
  </si>
  <si>
    <t>virement 1</t>
  </si>
  <si>
    <t>contribution animatrice awa dieye fevrier 2020</t>
  </si>
  <si>
    <t>contribution  animateur  hamidou thiam fevrier 2020</t>
  </si>
  <si>
    <t>paiment loyer du mois de fevrier  2020</t>
  </si>
  <si>
    <t xml:space="preserve">paiement facture n°109 pour achat de fournitures de bureau </t>
  </si>
  <si>
    <t>paiement des retenues BRS des agents du projet du mois de janvier 2020</t>
  </si>
  <si>
    <t>paiement des retenues BRS des agents du projet du mois de  fevrier 2020</t>
  </si>
  <si>
    <t>budget activités résultat 1</t>
  </si>
  <si>
    <t>budget frais de fonctionnement du bureau</t>
  </si>
  <si>
    <t>virement 2</t>
  </si>
  <si>
    <t>contribution animateur Oumar Al Housseynou Diattara fervier et mars 2020</t>
  </si>
  <si>
    <t>prise en charge chargé du suivi des projets mars 2020</t>
  </si>
  <si>
    <t>contribution animatrice awa dieye  mars  2020</t>
  </si>
  <si>
    <t>budget fonctionnement  du mois de mars  2020</t>
  </si>
  <si>
    <t>contribution  animateur  hamidou thiam mars  2020</t>
  </si>
  <si>
    <t>paiement retenues brs des agents du projet du mois de fevrier  2020</t>
  </si>
  <si>
    <t>paiement retenues  IR et TRIMF  des agents du projet du mois de fevrier  2020</t>
  </si>
  <si>
    <t>paiement retenues brs des agents du projet du mois de mars  2020</t>
  </si>
  <si>
    <t>paiement retenues  IR et TRIMF  des agents du projet du mois de mars  2020</t>
  </si>
  <si>
    <t>paiment loyer du mois de mars 2020</t>
  </si>
  <si>
    <t>virement 3</t>
  </si>
  <si>
    <t>ANNEXE 8 – PLANIFICATION OERATIONNELLE</t>
  </si>
  <si>
    <t>Titre du projet :</t>
  </si>
  <si>
    <t>Nom du partenaire :</t>
  </si>
  <si>
    <t xml:space="preserve">Compte bancaire / Caisse : </t>
  </si>
  <si>
    <t xml:space="preserve">Mois concerné : </t>
  </si>
  <si>
    <t>RECETTES</t>
  </si>
  <si>
    <t xml:space="preserve">DEPENSES </t>
  </si>
  <si>
    <t xml:space="preserve">Reçu </t>
  </si>
  <si>
    <t xml:space="preserve">Montant </t>
  </si>
  <si>
    <t>Banque</t>
  </si>
  <si>
    <t>P.V.</t>
  </si>
  <si>
    <t xml:space="preserve">Ligne </t>
  </si>
  <si>
    <t>Description de la transaction</t>
  </si>
  <si>
    <t xml:space="preserve">Nom du </t>
  </si>
  <si>
    <t>Montant</t>
  </si>
  <si>
    <t>Budg.</t>
  </si>
  <si>
    <t>bénéficiaire</t>
  </si>
  <si>
    <t xml:space="preserve">Balance suivant extrait </t>
  </si>
  <si>
    <t>(+) Dépôts en transit</t>
  </si>
  <si>
    <t>( - ) Chèques non encaissés</t>
  </si>
  <si>
    <t>Balance C/d</t>
  </si>
  <si>
    <t xml:space="preserve">Balance suivant calcul </t>
  </si>
  <si>
    <t>caisse</t>
  </si>
  <si>
    <t>virement d'ordre etranger n° 1</t>
  </si>
  <si>
    <t>virement d'ordre etranger n° 2</t>
  </si>
  <si>
    <t>frais bicisnet du mois de fevrier 2020</t>
  </si>
  <si>
    <t>frais bancaires du mois de fevier 2020</t>
  </si>
  <si>
    <t>frais virement salaire</t>
  </si>
  <si>
    <t>frais telecomps</t>
  </si>
  <si>
    <t xml:space="preserve">frais de timbre </t>
  </si>
  <si>
    <t>frais telecomps reverses</t>
  </si>
  <si>
    <t>facturation bicisnet  du mois de mars 2020</t>
  </si>
  <si>
    <t>interets sur commissions</t>
  </si>
  <si>
    <t>recettes</t>
  </si>
  <si>
    <t>frais viremen salaire</t>
  </si>
  <si>
    <t xml:space="preserve">frais virement salaire mars </t>
  </si>
  <si>
    <t xml:space="preserve">bicisnet mars </t>
  </si>
  <si>
    <t>interets sur commission</t>
  </si>
  <si>
    <t>contibution achat vehicule</t>
  </si>
  <si>
    <t>budget activites des resultats 1 et 2</t>
  </si>
  <si>
    <t>frais bicisnet janvier 2020</t>
  </si>
  <si>
    <t>frais de virement</t>
  </si>
  <si>
    <t>frais de telecomps</t>
  </si>
  <si>
    <t>contribution achat de vehicule pour le projet et frais de mutation</t>
  </si>
  <si>
    <t xml:space="preserve">prise en charge animation activité de sensibilisation maimouna sow </t>
  </si>
  <si>
    <t>prise en charge animation activité de sensibilisation moussa deme</t>
  </si>
  <si>
    <t>budget activités résultat 3</t>
  </si>
  <si>
    <t>paiement retenue IR et Trimf coordonnateur</t>
  </si>
  <si>
    <t>paiement retenue IR et Trimf comptable</t>
  </si>
  <si>
    <t>RH</t>
  </si>
  <si>
    <t>FE</t>
  </si>
  <si>
    <t>paiement loyer janvier</t>
  </si>
  <si>
    <t xml:space="preserve">paiement loyer février </t>
  </si>
  <si>
    <t>paiement loyer mars</t>
  </si>
  <si>
    <t>frais de télécompens</t>
  </si>
  <si>
    <t>frais internet banking janvier</t>
  </si>
  <si>
    <t>paiement des retenues BRS des agents du projet du mois de  mars 2020</t>
  </si>
  <si>
    <t>SAGA</t>
  </si>
  <si>
    <t>Difference</t>
  </si>
  <si>
    <t>virement d'ordre etranger n° 3</t>
  </si>
  <si>
    <t>Salaire du comptable, de l’animateur et du coordonnateur du mois d’avril 2020, 
 paiement du fournisseur pour l’achat de denrées alimentaires</t>
  </si>
  <si>
    <t>RH1, RH3, RH4, Covid</t>
  </si>
  <si>
    <t>contribution animatrice awa dieye avril 2020</t>
  </si>
  <si>
    <t>contribution animateur Ibrahima Hamidou Thiam avril 2020</t>
  </si>
  <si>
    <t xml:space="preserve">Paiement retenues IR des agents du projet du mois d’avril </t>
  </si>
  <si>
    <t>Paiement Loyer bureau Matam du mois d’avril 2020</t>
  </si>
  <si>
    <t>Budget fonctionnement du mois d’avril 2020</t>
  </si>
  <si>
    <t>Prise en charge chargé du suivi des projets du mois de mai 2020</t>
  </si>
  <si>
    <t>Indemnité animateur Oumar Al Housseynou Diattara avril 2020</t>
  </si>
  <si>
    <t>Covid</t>
  </si>
  <si>
    <t>Paiement fournisseur sur achat de denrées alimentaires</t>
  </si>
  <si>
    <t>frais bicisnet avril 2020</t>
  </si>
  <si>
    <t xml:space="preserve">achat de kits d'hygiéne </t>
  </si>
  <si>
    <t>C002201225</t>
  </si>
  <si>
    <t xml:space="preserve">achat de kits alientaires </t>
  </si>
  <si>
    <t xml:space="preserve">appui financier des maitres coranique pour le renforcement de la résilience face au corona virus </t>
  </si>
  <si>
    <t>transport kits alimentaires et hygiéne</t>
  </si>
  <si>
    <t>frais de fonctionnement</t>
  </si>
  <si>
    <t xml:space="preserve">prise en charge déplacement animation activité de sensibilisatin sur le corona virus aboubacry sarr </t>
  </si>
  <si>
    <t>prise en charge déplacement animation activité de sensibilisatin sur le corona virus safietou ba</t>
  </si>
  <si>
    <t xml:space="preserve">prise en charge déplacement animation activité de sensibilisatin sur le corona virus abdoulaye deme </t>
  </si>
  <si>
    <t>prise en charge déplacement animation activité de sensibilisatin sur le corona virus aissata ndiaye</t>
  </si>
  <si>
    <t>prise en charge déplacement animation activité de sensibilisatin sur le corona virus abdourahmane ndiaye</t>
  </si>
  <si>
    <t>prise en charge déplacement animation activité de sensibilisatin sur le corona virus Oumou alassane Sow</t>
  </si>
  <si>
    <t>prise en charge déplacement animation activité de sensibilisatin sur le corona virus hapsa thioub</t>
  </si>
  <si>
    <t>prise en charge déplacement animation activité de sensibilisatin sur le corona virus moussa h tounkara</t>
  </si>
  <si>
    <t>prise en charge déplacement animation activité de sensibilisatin sur le corona virus mamadou diaw</t>
  </si>
  <si>
    <t>prise en charge déplacement animation activité de sensibilisatin sur le corona virus aminata oumar diallo</t>
  </si>
  <si>
    <t>contribution animateur Oumar Al Housseynou Diattara avril 2020</t>
  </si>
  <si>
    <t>paiement retenues brs des agents du projet du mois de avril   2020</t>
  </si>
  <si>
    <t>frais de virement  telecomps</t>
  </si>
  <si>
    <t>paiement loyer du mois d'avril</t>
  </si>
  <si>
    <t>frais de mission chargé de suivi du projet</t>
  </si>
  <si>
    <t>achat kits alimentaires et hygiéne</t>
  </si>
  <si>
    <t xml:space="preserve"> contribution animatrice Awa dieye  </t>
  </si>
  <si>
    <t xml:space="preserve"> contribution animateur Ibrahima Hamidou Thiam </t>
  </si>
  <si>
    <t xml:space="preserve"> contribution animateur Samba Ndiaye Niang </t>
  </si>
  <si>
    <t xml:space="preserve"> contribution coordonnateur abdoulaye sow </t>
  </si>
  <si>
    <t xml:space="preserve"> paiement retenue IR et Trimf comptable </t>
  </si>
  <si>
    <t xml:space="preserve"> paiement retenue IR et Trimf coordonnateur </t>
  </si>
  <si>
    <t xml:space="preserve"> frais de mission chargé de suivi du projet </t>
  </si>
  <si>
    <t xml:space="preserve"> contribution animateur Oumar Al Housseynou Diattara </t>
  </si>
  <si>
    <t>28/05/20020</t>
  </si>
  <si>
    <t xml:space="preserve">frais de fonctionnement </t>
  </si>
  <si>
    <t xml:space="preserve">prise en charge chargé de suivi projet des projets mois de mai </t>
  </si>
  <si>
    <t>Paiement loyer bureau matam mois de mai</t>
  </si>
  <si>
    <t>contribution animatrice awa dieye  mai 2020</t>
  </si>
  <si>
    <t>contribution animateur Ibrahima Hamidou Thiam mai  2020</t>
  </si>
  <si>
    <t>Indemnité animateur Oumar Al Housseynou Diattara mai 2020</t>
  </si>
  <si>
    <t>Budget de fonctionnement du mois de mai 2020</t>
  </si>
  <si>
    <t>Facture bicis net mai 2020</t>
  </si>
  <si>
    <t>Ttansport suivi des activités du projet eclat talibé à ourossogui</t>
  </si>
  <si>
    <t>Ttansport suivi des activités du projet eclat talibé à orkodiéré</t>
  </si>
  <si>
    <t>Ttansport suivi des activités du projet eclat talibé à matam</t>
  </si>
  <si>
    <t>virement</t>
  </si>
  <si>
    <t>salaire comptable mois de mai 2020</t>
  </si>
  <si>
    <t>Salaires coordonateur mois de mai 2020</t>
  </si>
  <si>
    <t>contribution animateur Samba ndiaye Niang mai  2020</t>
  </si>
  <si>
    <t>paiement retenues IR et Trimf</t>
  </si>
  <si>
    <t>paiement retenues BRS</t>
  </si>
  <si>
    <t xml:space="preserve"> contribution comptable babacar gako </t>
  </si>
  <si>
    <t xml:space="preserve"> contribution  comptable babacar gako </t>
  </si>
  <si>
    <t xml:space="preserve">contribution  comptable babacar gako </t>
  </si>
  <si>
    <t xml:space="preserve"> paiement retenue IR et Trimf coordonnateur</t>
  </si>
  <si>
    <t>transport suivi bineta dia</t>
  </si>
  <si>
    <t>transport suivi fatimata aw</t>
  </si>
  <si>
    <t>Paiement loyer bureau matam mois de juin</t>
  </si>
  <si>
    <t>paiement des retenues BRS des agents du projet du mois de juin</t>
  </si>
  <si>
    <t>Paiement facture éléctricité</t>
  </si>
  <si>
    <t>budget de fonctionnement</t>
  </si>
  <si>
    <t>prise en charge chargé de suivi projet des projets mois de juin</t>
  </si>
  <si>
    <t>salaire comptable mois de juin</t>
  </si>
  <si>
    <t>contribution animateur Samba ndiaye Niang juin</t>
  </si>
  <si>
    <t>contribution animatrice awa dieye  juin</t>
  </si>
  <si>
    <t>contribution animateur Ibrahima Hamidou Thiam juin</t>
  </si>
  <si>
    <t>Indemnité animateur Oumar Al Housseynou Diattara juin</t>
  </si>
  <si>
    <t>Budget de fonctionnement du mois de juin</t>
  </si>
  <si>
    <t>Facture bicis net juin</t>
  </si>
  <si>
    <t>Salaires coordonateur mois de juin</t>
  </si>
  <si>
    <t>paiement facture senelec</t>
  </si>
  <si>
    <t xml:space="preserve">Total Expenses </t>
  </si>
  <si>
    <t>frais bicis net juin 2020</t>
  </si>
  <si>
    <t>interets /commissions</t>
  </si>
  <si>
    <t xml:space="preserve">frais virement </t>
  </si>
  <si>
    <t>Chq 1445732</t>
  </si>
  <si>
    <t>Budget de fonctionnement</t>
  </si>
  <si>
    <t>Budget activités résultat 4</t>
  </si>
  <si>
    <t xml:space="preserve">entretien vehicule </t>
  </si>
  <si>
    <t xml:space="preserve">contribution au paiement honoraire audit </t>
  </si>
  <si>
    <t xml:space="preserve"> achat de carburant </t>
  </si>
  <si>
    <t xml:space="preserve"> FB1 </t>
  </si>
  <si>
    <t xml:space="preserve"> FB4 </t>
  </si>
  <si>
    <t xml:space="preserve"> Paiement loyer bureau matam mois de juillet </t>
  </si>
  <si>
    <t xml:space="preserve"> FB6 </t>
  </si>
  <si>
    <t xml:space="preserve"> paiement des retenues BRS des agents du projet du mois de juillet </t>
  </si>
  <si>
    <t xml:space="preserve"> FB7 </t>
  </si>
  <si>
    <t xml:space="preserve"> frais bancaire </t>
  </si>
  <si>
    <t xml:space="preserve"> FB5 </t>
  </si>
  <si>
    <t xml:space="preserve">  contribution animatrice Awa dieye   </t>
  </si>
  <si>
    <t xml:space="preserve"> RH4 </t>
  </si>
  <si>
    <t xml:space="preserve">  contribution animateur Ibrahima Hamidou Thiam  </t>
  </si>
  <si>
    <t xml:space="preserve">  contribution animateur Samba Ndiaye Niang  </t>
  </si>
  <si>
    <t xml:space="preserve">  contribution animateur Oumar Al Housseynou Diattara  </t>
  </si>
  <si>
    <t xml:space="preserve">  contribution coordonnateur abdoulaye sow  </t>
  </si>
  <si>
    <t xml:space="preserve">  contribution comptable babacar gako  </t>
  </si>
  <si>
    <t xml:space="preserve">  paiement retenue IR et Trimf coordonnateur </t>
  </si>
  <si>
    <t xml:space="preserve">  paiement retenue IR et Trimf comptable  </t>
  </si>
  <si>
    <t xml:space="preserve"> RH2 </t>
  </si>
  <si>
    <t xml:space="preserve">Virement d'ordre etranger n°4 </t>
  </si>
  <si>
    <t>Salaires coordonateur mois de juillet</t>
  </si>
  <si>
    <t>contribution animateur Samba ndiaye Niang juillet</t>
  </si>
  <si>
    <t>Paiement loyer bureau matam mois de juillet</t>
  </si>
  <si>
    <t>contribution animatrice awa dieye  juillet</t>
  </si>
  <si>
    <t>contribution animateur Ibrahima Hamidou Thiam juillet</t>
  </si>
  <si>
    <t>Indemnité animateur Oumar Al Housseynou Diattara juillet</t>
  </si>
  <si>
    <t>Budget de fonctionnement du mois de juillet</t>
  </si>
  <si>
    <t>budget intégration des maitres coraniques au comité pédagogique</t>
  </si>
  <si>
    <t>R4</t>
  </si>
  <si>
    <t>Budget activité résultat 4</t>
  </si>
  <si>
    <t>DE</t>
  </si>
  <si>
    <t>Contribution au paiement des honoraires audit</t>
  </si>
  <si>
    <t>paiement facture N12</t>
  </si>
  <si>
    <t xml:space="preserve">achat d'ampoules </t>
  </si>
  <si>
    <t xml:space="preserve"> Paiement loyer bureau matam mois d'aout</t>
  </si>
  <si>
    <t xml:space="preserve">prise en charge restauration atelier de partage sur la stratégie de plaidoyer </t>
  </si>
  <si>
    <t xml:space="preserve">prise en charge trnasport des participants </t>
  </si>
  <si>
    <t xml:space="preserve">frais d'entretien salle de conférence </t>
  </si>
  <si>
    <t>achat d'eau</t>
  </si>
  <si>
    <t>confection de banderol</t>
  </si>
  <si>
    <t xml:space="preserve">achat de serrure </t>
  </si>
  <si>
    <t>frais d'entretien vehicule dacia</t>
  </si>
  <si>
    <t>R3</t>
  </si>
  <si>
    <t>Budget activité resultat 3</t>
  </si>
  <si>
    <t>prise en charge chargé de suivi projet des projets mois d'aout</t>
  </si>
  <si>
    <t>RH1, RH3, RH4</t>
  </si>
  <si>
    <t>salaire comptable, coordonnateur, animateurs  mois d'aout</t>
  </si>
  <si>
    <t>Paiement loyer bureau matam mois d'aout</t>
  </si>
  <si>
    <t>contribution animateur Ibrahima Hamidou Thiam d'aout</t>
  </si>
  <si>
    <t>Indemnité animateur Oumar Al Housseynou Diattara d'aout</t>
  </si>
  <si>
    <t>R1</t>
  </si>
  <si>
    <t>Budget activité résultat 1</t>
  </si>
  <si>
    <t>R2</t>
  </si>
  <si>
    <t>Budget activité résultat 2</t>
  </si>
  <si>
    <t>achat de fournitures de bureau</t>
  </si>
  <si>
    <t>Budget activité resultat 1</t>
  </si>
  <si>
    <t>Budget activité resultat 2</t>
  </si>
  <si>
    <t>balance suivant calcul</t>
  </si>
  <si>
    <t>Confection de banderole</t>
  </si>
  <si>
    <t>régularisation bicis net juillet</t>
  </si>
  <si>
    <t>frais virement</t>
  </si>
  <si>
    <t>régularisation bicis net aout</t>
  </si>
  <si>
    <t xml:space="preserve">trnasport mensuel technicien horticole pour l'accompagnement des agr maraichage des daaras </t>
  </si>
  <si>
    <t xml:space="preserve">achat de semences pour l'accompagnement  l'agr maraichage des daaras </t>
  </si>
  <si>
    <t xml:space="preserve">prise en charge déplacement réunion de planification du programme alphabétisation </t>
  </si>
  <si>
    <t xml:space="preserve">prise en charge animation causerie sur la maltraitance des talibés par dieynaba m i niane </t>
  </si>
  <si>
    <t>lavage auto</t>
  </si>
  <si>
    <t>prise en charge animation causerie sur l'amélioration des confitions de vie des talibé par Aissata m diallo</t>
  </si>
  <si>
    <t xml:space="preserve">frais de deplacement superviseur alphabétisation </t>
  </si>
  <si>
    <t>transport suivi des activtés bineta dia</t>
  </si>
  <si>
    <t>prise en charge animation causeriesur la vie des talibés par Maimouna Tambadou</t>
  </si>
  <si>
    <t>transport suivi des activtés awa dieye</t>
  </si>
  <si>
    <t xml:space="preserve">achat de produits sanitaires pour la formation des talibés aux premiers secours </t>
  </si>
  <si>
    <t xml:space="preserve">achat de matériels didactiques formation des talibés aux premiers secours </t>
  </si>
  <si>
    <t xml:space="preserve">Prise en charge formateur ablaye gakou formation des talibés aux premiers secours </t>
  </si>
  <si>
    <t xml:space="preserve">prise en charge formateur ibrahima babou  formation des talibés aux premiers secours </t>
  </si>
  <si>
    <t xml:space="preserve">prise en charge restauration formation des talibés aux premiers secours </t>
  </si>
  <si>
    <t xml:space="preserve">prise en charge transport des participants formation des talibés aux premiers secours </t>
  </si>
  <si>
    <t>prise en charge animation causerie aissata aw</t>
  </si>
  <si>
    <t xml:space="preserve">prise en charge restauration atelier de formation des moniteurs sur les modules d'apprentissage </t>
  </si>
  <si>
    <t xml:space="preserve">prise en charge transport des participants  atelier de formation des moniteurs sur les modules d'apprentissage </t>
  </si>
  <si>
    <t xml:space="preserve">prise en charge formateur demba soumaré </t>
  </si>
  <si>
    <t>indemnité technicien horticole</t>
  </si>
  <si>
    <t>Indemnité technicien horticole</t>
  </si>
  <si>
    <t>virement d'ordre etranger N°5</t>
  </si>
  <si>
    <t xml:space="preserve">virement </t>
  </si>
  <si>
    <t xml:space="preserve">achat de matériels didactiques alphabétisation </t>
  </si>
  <si>
    <t>contribution animateur Ibrahima Hamidou Thiam de sept</t>
  </si>
  <si>
    <t>Paiement loyer bureau matam mois de sept</t>
  </si>
  <si>
    <t>régularisation bicis net sept</t>
  </si>
  <si>
    <t>R1.3</t>
  </si>
  <si>
    <t xml:space="preserve">Achat de medicament pour les boites à pharmacie </t>
  </si>
  <si>
    <t>achat de cartouche</t>
  </si>
  <si>
    <t xml:space="preserve">Interet et commission </t>
  </si>
  <si>
    <t xml:space="preserve"> paiement des retenues BRS des agents du projet du mois d'aout</t>
  </si>
  <si>
    <t xml:space="preserve">Frais de virement </t>
  </si>
  <si>
    <t>Budget activité résultat1</t>
  </si>
  <si>
    <t>budget activité résultat2</t>
  </si>
  <si>
    <t>Chq 2524777</t>
  </si>
  <si>
    <t>chq 2524774</t>
  </si>
  <si>
    <t>Chq 2524779</t>
  </si>
  <si>
    <t>chq 2524781</t>
  </si>
  <si>
    <t>chq 2524782</t>
  </si>
  <si>
    <t>chq 2524780</t>
  </si>
  <si>
    <t>chq 2524785</t>
  </si>
  <si>
    <t>chq 2524776</t>
  </si>
  <si>
    <t>chq 2524775</t>
  </si>
  <si>
    <t>salaire comptable, coordonnateur,chargé de suivi animateurs  mois de septembre</t>
  </si>
  <si>
    <t>Indemnité animateur Oumar Al Housseynou Diattara de septembre</t>
  </si>
  <si>
    <t>Chq 1445743</t>
  </si>
  <si>
    <t>Chq 1445744</t>
  </si>
  <si>
    <t>Réconciliation bancaire avril                                                5007996</t>
  </si>
  <si>
    <t>Chq 252726</t>
  </si>
  <si>
    <t>Chq 2524727</t>
  </si>
  <si>
    <t>Réconciliation bancaire  mai                                                  3817786</t>
  </si>
  <si>
    <t>Chq 2524735</t>
  </si>
  <si>
    <t>Chq 1445736</t>
  </si>
  <si>
    <t>Chq 1445724</t>
  </si>
  <si>
    <t>Chq 1445723</t>
  </si>
  <si>
    <t>Chq 1445731</t>
  </si>
  <si>
    <t>Chq 1445737</t>
  </si>
  <si>
    <t>Chq 1445739</t>
  </si>
  <si>
    <t>Chq 1445733</t>
  </si>
  <si>
    <t>Chq 1445734</t>
  </si>
  <si>
    <t>Chq 1445730</t>
  </si>
  <si>
    <t>Réconciliation bancaire  juin                                                  3817786</t>
  </si>
  <si>
    <t>Réconciliation bancaire mars</t>
  </si>
  <si>
    <t>Réconciliation bancaire février</t>
  </si>
  <si>
    <t>Réconciliation bancaire janvier</t>
  </si>
  <si>
    <t>Chq 2524746</t>
  </si>
  <si>
    <t>Chq 1445750</t>
  </si>
  <si>
    <t xml:space="preserve">Réconciliation bancaire juillet                                               </t>
  </si>
  <si>
    <t xml:space="preserve">Réconciliation bancaire aout                                               </t>
  </si>
  <si>
    <t>Chq 252753</t>
  </si>
  <si>
    <t>Chq 2524752</t>
  </si>
  <si>
    <t>Chq 252771</t>
  </si>
  <si>
    <t>achat de matériels didactiques pour alphabétisation</t>
  </si>
  <si>
    <t xml:space="preserve"> frais bancaires</t>
  </si>
  <si>
    <t>paiement loyer bureau</t>
  </si>
  <si>
    <t xml:space="preserve"> prise en charge chargé de suivi du projet </t>
  </si>
  <si>
    <t xml:space="preserve">paiement construction de 2 abris </t>
  </si>
  <si>
    <t>paiement construction de 2 abris</t>
  </si>
  <si>
    <t>achat de médicaments pour les boites à pharmacie</t>
  </si>
  <si>
    <t>indemnité moniteur souleymane h kane</t>
  </si>
  <si>
    <t>indemnité moniteur Bouma ka</t>
  </si>
  <si>
    <t>indemnité moniteur ibrahima oumar ka</t>
  </si>
  <si>
    <t>indemnité moniteur Ibrahima ba</t>
  </si>
  <si>
    <t xml:space="preserve">indemnité monitrice Haby diagne </t>
  </si>
  <si>
    <t>indemnité moniteur Yaya diéry diop</t>
  </si>
  <si>
    <t>indemnité moniteur Samba h Ba</t>
  </si>
  <si>
    <t>indemnité monitrice Penda Sow</t>
  </si>
  <si>
    <t>indemnité monitrice coumba hamady ba</t>
  </si>
  <si>
    <t>indemnité moniteur Moussa A Sow</t>
  </si>
  <si>
    <t>indemnité moniteur Daouda sow</t>
  </si>
  <si>
    <t>indemnité moniteur Aissata Camara</t>
  </si>
  <si>
    <t>indemnité moniteur Samba Thiam</t>
  </si>
  <si>
    <t>indemnité moniteur Oumat Thiam</t>
  </si>
  <si>
    <t>indemnité moniteur Saloum Diaw</t>
  </si>
  <si>
    <t>indemnité monitrice Aminata barry</t>
  </si>
  <si>
    <t xml:space="preserve">indemnité monitrice haby mbengue </t>
  </si>
  <si>
    <t>indemnité monitrice Oumou Fall</t>
  </si>
  <si>
    <t>indemnité monitrice Kardiatou Diallo</t>
  </si>
  <si>
    <t>indemnité monitrice marieme mamadou ly</t>
  </si>
  <si>
    <t xml:space="preserve">indemnité superviseur Demba Soumaré </t>
  </si>
  <si>
    <t>indemnité superviseur Abdoul elbou gueye</t>
  </si>
  <si>
    <t xml:space="preserve">achat de carburant </t>
  </si>
  <si>
    <t>COO102102006</t>
  </si>
  <si>
    <t xml:space="preserve">transport suivi alphabétisation </t>
  </si>
  <si>
    <t>prise en charge animation causerie par aissata aw</t>
  </si>
  <si>
    <t>prise en charge animation causerie par maimouna tambadou</t>
  </si>
  <si>
    <t xml:space="preserve">transport fatimata aw rencontre avec les partenaires pour le parrainnage des daaras </t>
  </si>
  <si>
    <t xml:space="preserve">transport Awa dieye rencontre avec les partenaires pour le parrainnage des daaras </t>
  </si>
  <si>
    <t>prise en charge organisation mobilisation sociale et sensibilisation sur l'enrolement des enfants talibés à l'etat civil</t>
  </si>
  <si>
    <t>entretien moto</t>
  </si>
  <si>
    <t xml:space="preserve">prise en charge animation causerie par mairame ndiaye </t>
  </si>
  <si>
    <t xml:space="preserve">achat de carburant suivi alphabétisation </t>
  </si>
  <si>
    <t xml:space="preserve">transport babacar gako rencontre avec les partenaires pour le parrainnage des daaras </t>
  </si>
  <si>
    <t xml:space="preserve">transport bineta dia rencontre avec les partenaires pour le parrainnage des daaras </t>
  </si>
  <si>
    <t xml:space="preserve">confection de tableau d'apprentissage pour les daara </t>
  </si>
  <si>
    <t xml:space="preserve">achat de fourniture de bureau </t>
  </si>
  <si>
    <t>prise en charge animation causerie par koudy hamady ba</t>
  </si>
  <si>
    <t>prise en charge animation causerie harouna ba</t>
  </si>
  <si>
    <t>prise en charge animation causerie par sally thiam</t>
  </si>
  <si>
    <t>prise en charge animation causerie par abdarahmane sy</t>
  </si>
  <si>
    <t>achat de carburant et lavage auto</t>
  </si>
  <si>
    <t>prise en charge animation de 3 series de vad par harouna ba</t>
  </si>
  <si>
    <t>prise en charge animation causerie kalidou mbodji</t>
  </si>
  <si>
    <t xml:space="preserve">prise en charge animation causerie par coumba sarr </t>
  </si>
  <si>
    <t>prise en charge animation causerie par amadou sow</t>
  </si>
  <si>
    <t>prise en charge animation causerie par saidou abdourahmane ba</t>
  </si>
  <si>
    <t xml:space="preserve">prise en charge animation causerie par hawa ndiaye </t>
  </si>
  <si>
    <t>prise en charge animation causerie par alassane abou ba</t>
  </si>
  <si>
    <t xml:space="preserve">prise en charge animation de 3 series de vad par alassane abou ba </t>
  </si>
  <si>
    <t>prise en charge animation causerie par el hadji mory diaw</t>
  </si>
  <si>
    <t xml:space="preserve">prise en charge animation causerie kalidou sarr </t>
  </si>
  <si>
    <t>prise en charge animation causerie par mamadou baba ba</t>
  </si>
  <si>
    <t>prise en charge animation causerie par kalidou sarr</t>
  </si>
  <si>
    <t xml:space="preserve">prise en charge animation causerie par abdourahmane ndiaye </t>
  </si>
  <si>
    <t xml:space="preserve">prise en charge animation de 3 series de vad par abdourahmane ndiaye </t>
  </si>
  <si>
    <t xml:space="preserve">prise en charge animation causerie hawa konté </t>
  </si>
  <si>
    <t>prise en charge animation de 3 series de vad par hawa konté</t>
  </si>
  <si>
    <t xml:space="preserve">transport moctar ba rencontre avec les partenaires pour le parrainnage des daaras </t>
  </si>
  <si>
    <t xml:space="preserve">prise en charge animation causerie diouldé camara </t>
  </si>
  <si>
    <t xml:space="preserve">prise en charge animation de 3 series par khardiatou diy ba </t>
  </si>
  <si>
    <t xml:space="preserve">achat de peinture pour les tableaux </t>
  </si>
  <si>
    <t xml:space="preserve">prise en charge animation causerie par mairame barry </t>
  </si>
  <si>
    <t>prise en charge animation de 3 series de vad par el hadji mory diaw</t>
  </si>
  <si>
    <t xml:space="preserve">prise en charge transport suivi alphabétisation à sinthiane </t>
  </si>
  <si>
    <t xml:space="preserve">transport oumar diattara rencontre avec les partenaires pour le parrainnage des daaras </t>
  </si>
  <si>
    <t>prise en charge animation causerie par aminata ba</t>
  </si>
  <si>
    <t>prise en charge animation causerie par rouguiatou ba</t>
  </si>
  <si>
    <t xml:space="preserve">transport demba guissé  rencontre avec les partenaires pour le parrainnage des daaras </t>
  </si>
  <si>
    <t>paiement facture sonatel</t>
  </si>
  <si>
    <t>prise en charge indemnité technicien horticole</t>
  </si>
  <si>
    <t xml:space="preserve">achat de pneu </t>
  </si>
  <si>
    <t xml:space="preserve">prise en charge restauration  journée de mise en place du système d'alerte et de veille </t>
  </si>
  <si>
    <t xml:space="preserve">transport participants journée de mise en place du système d'alerte et de veille </t>
  </si>
  <si>
    <t xml:space="preserve">prise en charge facilitateur journée de mise en place du système d'alerte et de veille </t>
  </si>
  <si>
    <t xml:space="preserve">transport mensuel technicien horticole pour l'accompagnement des agr maraichage des daaras </t>
  </si>
  <si>
    <t xml:space="preserve">Total </t>
  </si>
  <si>
    <t xml:space="preserve">Balance </t>
  </si>
  <si>
    <t>salaire comptable, coordonnateur,animateurs  mois d'octobre</t>
  </si>
  <si>
    <t xml:space="preserve">Indemnité animateur Oumar Al Housseynou Diattara </t>
  </si>
  <si>
    <t>Paiement loyer bureau matam mois d'octobre</t>
  </si>
  <si>
    <t>Paiement des indemnités moniteurs, superviseurs et budget atelier animation pédogogique</t>
  </si>
  <si>
    <t>Paiement retenues IR mois d'octobre</t>
  </si>
  <si>
    <t xml:space="preserve">Paiement retenues BRS mois d'octobre </t>
  </si>
  <si>
    <t>frais de telecom</t>
  </si>
  <si>
    <t xml:space="preserve">budget activité </t>
  </si>
  <si>
    <t>Chq 2524789</t>
  </si>
  <si>
    <t xml:space="preserve">achat de carburant suivi agr </t>
  </si>
  <si>
    <t>transport superviseur abdoul elbou gueye</t>
  </si>
  <si>
    <t xml:space="preserve">accès des enfatns talibés aux soins appui aux maitres coraniques pour la prise en charge sanitaire </t>
  </si>
  <si>
    <t xml:space="preserve">prise en charge restauration journée d'installation comité de veille de la zone de sinthiane </t>
  </si>
  <si>
    <t xml:space="preserve">prise en charge transport atelier de renforcement de capacité de 10 femmes et jeunes relais </t>
  </si>
  <si>
    <t xml:space="preserve">prise en charge restauration atelier de renforcement de capacité de 10 femmes et jeunes relais </t>
  </si>
  <si>
    <t>prise en charge restauration journée d'installation comité de veille de la zone de kanel</t>
  </si>
  <si>
    <t>prise en charge restauration journée d'installation comité de veille de la zone de ouro sidy</t>
  </si>
  <si>
    <t xml:space="preserve">prise en charge restauration journée d'installation comité de veille de la zone de orkodiéré </t>
  </si>
  <si>
    <t>prise en charge restauration journée d'installation comité de veille de la zone de wendu bosseabé</t>
  </si>
  <si>
    <t>transport superviseur demba soumaré</t>
  </si>
  <si>
    <t>frais sur virement salaire</t>
  </si>
  <si>
    <t>complément achat matériels didactiques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</si>
</sst>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.00\ &quot;CFA&quot;_-;\-* #,##0.00\ &quot;CFA&quot;_-;_-* &quot;-&quot;??\ &quot;CFA&quot;_-;_-@_-"/>
    <numFmt numFmtId="167" formatCode="_-* #,##0.00\ _C_F_A_-;\-* #,##0.00\ _C_F_A_-;_-* &quot;-&quot;??\ _C_F_A_-;_-@_-"/>
    <numFmt numFmtId="168" formatCode="0.0%"/>
    <numFmt numFmtId="169" formatCode="#,##0.00_ ;\-#,##0.00\ "/>
    <numFmt numFmtId="170" formatCode="_(* #,##0_);_(* \(#,##0\);_(* &quot;-&quot;??_);_(@_)"/>
    <numFmt numFmtId="171" formatCode="_-* #,##0\ _€_-;\-* #,##0\ _€_-;_-* &quot;-&quot;??\ _€_-;_-@_-"/>
    <numFmt numFmtId="172" formatCode="#,##0_ ;\-#,##0\ "/>
    <numFmt numFmtId="173" formatCode="0.000"/>
    <numFmt numFmtId="174" formatCode="_-* #,##0\ &quot;€&quot;_-;\-* #,##0\ &quot;€&quot;_-;_-* &quot;-&quot;??\ &quot;€&quot;_-;_-@_-"/>
    <numFmt numFmtId="175" formatCode="_ * #,##0.00_)\ _C_N_Y_ ;_ * \(#,##0.00\)\ _C_N_Y_ ;_ * &quot;-&quot;??_)\ _C_N_Y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u/>
      <sz val="16"/>
      <color theme="1"/>
      <name val="Cambria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u val="singleAccounting"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bgColor theme="3" tint="0.79995117038483843"/>
      </patternFill>
    </fill>
    <fill>
      <patternFill patternType="lightDown">
        <bgColor theme="3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8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</cellStyleXfs>
  <cellXfs count="882">
    <xf numFmtId="0" fontId="0" fillId="0" borderId="0" xfId="0"/>
    <xf numFmtId="0" fontId="0" fillId="0" borderId="0" xfId="0"/>
    <xf numFmtId="0" fontId="4" fillId="0" borderId="0" xfId="0" applyFont="1"/>
    <xf numFmtId="44" fontId="5" fillId="0" borderId="41" xfId="0" applyNumberFormat="1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2" xfId="3" applyFont="1" applyFill="1" applyBorder="1" applyAlignment="1" applyProtection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</xf>
    <xf numFmtId="3" fontId="7" fillId="0" borderId="54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3" applyFont="1" applyFill="1" applyBorder="1" applyAlignment="1" applyProtection="1">
      <alignment horizontal="center" vertical="center" wrapText="1"/>
    </xf>
    <xf numFmtId="3" fontId="8" fillId="0" borderId="23" xfId="0" applyNumberFormat="1" applyFont="1" applyFill="1" applyBorder="1" applyAlignment="1" applyProtection="1">
      <alignment horizontal="center" vertical="center" wrapText="1"/>
    </xf>
    <xf numFmtId="44" fontId="5" fillId="0" borderId="45" xfId="5" applyNumberFormat="1" applyFont="1" applyFill="1" applyBorder="1" applyAlignment="1">
      <alignment horizontal="left" vertical="center" wrapText="1"/>
    </xf>
    <xf numFmtId="44" fontId="4" fillId="0" borderId="46" xfId="7" applyNumberFormat="1" applyFont="1" applyFill="1" applyBorder="1" applyAlignment="1">
      <alignment horizontal="left"/>
    </xf>
    <xf numFmtId="44" fontId="5" fillId="0" borderId="13" xfId="6" applyNumberFormat="1" applyFont="1" applyFill="1" applyBorder="1" applyAlignment="1">
      <alignment horizontal="right" vertical="center"/>
    </xf>
    <xf numFmtId="44" fontId="5" fillId="0" borderId="14" xfId="6" applyNumberFormat="1" applyFont="1" applyFill="1" applyBorder="1" applyAlignment="1">
      <alignment horizontal="right" vertical="center"/>
    </xf>
    <xf numFmtId="44" fontId="5" fillId="7" borderId="25" xfId="6" applyNumberFormat="1" applyFont="1" applyFill="1" applyBorder="1" applyAlignment="1">
      <alignment horizontal="right" vertical="center"/>
    </xf>
    <xf numFmtId="44" fontId="5" fillId="0" borderId="25" xfId="6" applyNumberFormat="1" applyFont="1" applyFill="1" applyBorder="1" applyAlignment="1">
      <alignment horizontal="right" vertical="center"/>
    </xf>
    <xf numFmtId="44" fontId="7" fillId="0" borderId="13" xfId="6" applyNumberFormat="1" applyFont="1" applyFill="1" applyBorder="1" applyAlignment="1">
      <alignment horizontal="right" vertical="center"/>
    </xf>
    <xf numFmtId="44" fontId="7" fillId="0" borderId="14" xfId="6" applyNumberFormat="1" applyFont="1" applyFill="1" applyBorder="1" applyAlignment="1">
      <alignment horizontal="right" vertical="center"/>
    </xf>
    <xf numFmtId="44" fontId="7" fillId="0" borderId="25" xfId="6" applyNumberFormat="1" applyFont="1" applyFill="1" applyBorder="1" applyAlignment="1">
      <alignment horizontal="right" vertical="center"/>
    </xf>
    <xf numFmtId="44" fontId="5" fillId="0" borderId="19" xfId="5" applyNumberFormat="1" applyFont="1" applyFill="1" applyBorder="1" applyAlignment="1">
      <alignment horizontal="left" vertical="center" wrapText="1"/>
    </xf>
    <xf numFmtId="44" fontId="7" fillId="0" borderId="26" xfId="7" applyNumberFormat="1" applyFont="1" applyFill="1" applyBorder="1" applyAlignment="1">
      <alignment horizontal="left" vertical="center" wrapText="1"/>
    </xf>
    <xf numFmtId="44" fontId="7" fillId="0" borderId="19" xfId="6" applyNumberFormat="1" applyFont="1" applyFill="1" applyBorder="1" applyAlignment="1">
      <alignment horizontal="right" vertical="center"/>
    </xf>
    <xf numFmtId="44" fontId="7" fillId="0" borderId="4" xfId="6" applyNumberFormat="1" applyFont="1" applyFill="1" applyBorder="1" applyAlignment="1">
      <alignment horizontal="right" vertical="center"/>
    </xf>
    <xf numFmtId="44" fontId="5" fillId="7" borderId="26" xfId="6" applyNumberFormat="1" applyFont="1" applyFill="1" applyBorder="1" applyAlignment="1">
      <alignment horizontal="right" vertical="center"/>
    </xf>
    <xf numFmtId="44" fontId="5" fillId="0" borderId="26" xfId="6" applyNumberFormat="1" applyFont="1" applyFill="1" applyBorder="1" applyAlignment="1">
      <alignment horizontal="right" vertical="center"/>
    </xf>
    <xf numFmtId="44" fontId="7" fillId="0" borderId="26" xfId="6" applyNumberFormat="1" applyFont="1" applyFill="1" applyBorder="1" applyAlignment="1">
      <alignment horizontal="right" vertical="center"/>
    </xf>
    <xf numFmtId="44" fontId="4" fillId="0" borderId="26" xfId="7" applyNumberFormat="1" applyFont="1" applyFill="1" applyBorder="1" applyAlignment="1">
      <alignment horizontal="left" wrapText="1"/>
    </xf>
    <xf numFmtId="44" fontId="5" fillId="0" borderId="19" xfId="6" applyNumberFormat="1" applyFont="1" applyFill="1" applyBorder="1" applyAlignment="1">
      <alignment horizontal="right" vertical="center"/>
    </xf>
    <xf numFmtId="44" fontId="5" fillId="0" borderId="4" xfId="6" applyNumberFormat="1" applyFont="1" applyFill="1" applyBorder="1" applyAlignment="1">
      <alignment horizontal="right" vertical="center"/>
    </xf>
    <xf numFmtId="44" fontId="7" fillId="0" borderId="26" xfId="7" applyNumberFormat="1" applyFont="1" applyFill="1" applyBorder="1" applyAlignment="1">
      <alignment horizontal="left"/>
    </xf>
    <xf numFmtId="44" fontId="7" fillId="0" borderId="20" xfId="6" applyNumberFormat="1" applyFont="1" applyFill="1" applyBorder="1" applyAlignment="1">
      <alignment horizontal="right" vertical="center"/>
    </xf>
    <xf numFmtId="44" fontId="7" fillId="0" borderId="5" xfId="6" applyNumberFormat="1" applyFont="1" applyFill="1" applyBorder="1" applyAlignment="1">
      <alignment horizontal="right" vertical="center"/>
    </xf>
    <xf numFmtId="44" fontId="5" fillId="7" borderId="28" xfId="6" applyNumberFormat="1" applyFont="1" applyFill="1" applyBorder="1" applyAlignment="1">
      <alignment horizontal="right" vertical="center"/>
    </xf>
    <xf numFmtId="44" fontId="5" fillId="0" borderId="28" xfId="6" applyNumberFormat="1" applyFont="1" applyFill="1" applyBorder="1" applyAlignment="1">
      <alignment horizontal="right" vertical="center"/>
    </xf>
    <xf numFmtId="44" fontId="7" fillId="0" borderId="28" xfId="6" applyNumberFormat="1" applyFont="1" applyFill="1" applyBorder="1" applyAlignment="1">
      <alignment horizontal="right" vertical="center"/>
    </xf>
    <xf numFmtId="44" fontId="7" fillId="10" borderId="21" xfId="8" applyNumberFormat="1" applyFont="1" applyFill="1" applyBorder="1" applyAlignment="1">
      <alignment horizontal="right" vertical="center"/>
    </xf>
    <xf numFmtId="44" fontId="7" fillId="10" borderId="23" xfId="8" applyNumberFormat="1" applyFont="1" applyFill="1" applyBorder="1" applyAlignment="1">
      <alignment horizontal="right" vertical="center"/>
    </xf>
    <xf numFmtId="44" fontId="7" fillId="10" borderId="22" xfId="8" applyNumberFormat="1" applyFont="1" applyFill="1" applyBorder="1" applyAlignment="1">
      <alignment horizontal="right" vertical="center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3" fontId="7" fillId="0" borderId="57" xfId="0" applyNumberFormat="1" applyFont="1" applyBorder="1" applyAlignment="1" applyProtection="1">
      <alignment horizontal="center" vertical="center"/>
      <protection locked="0"/>
    </xf>
    <xf numFmtId="44" fontId="7" fillId="0" borderId="36" xfId="0" applyNumberFormat="1" applyFont="1" applyBorder="1" applyAlignment="1" applyProtection="1">
      <alignment horizontal="center" vertical="center"/>
      <protection locked="0"/>
    </xf>
    <xf numFmtId="44" fontId="7" fillId="0" borderId="62" xfId="0" applyNumberFormat="1" applyFont="1" applyBorder="1" applyAlignment="1" applyProtection="1">
      <alignment horizontal="center" vertical="center" wrapText="1"/>
      <protection locked="0"/>
    </xf>
    <xf numFmtId="44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15" borderId="6" xfId="1" applyNumberFormat="1" applyFont="1" applyFill="1" applyBorder="1" applyAlignment="1" applyProtection="1">
      <protection locked="0"/>
    </xf>
    <xf numFmtId="3" fontId="5" fillId="0" borderId="61" xfId="0" applyNumberFormat="1" applyFont="1" applyFill="1" applyBorder="1" applyProtection="1">
      <protection locked="0"/>
    </xf>
    <xf numFmtId="14" fontId="5" fillId="0" borderId="14" xfId="0" applyNumberFormat="1" applyFont="1" applyFill="1" applyBorder="1" applyProtection="1">
      <protection locked="0"/>
    </xf>
    <xf numFmtId="3" fontId="5" fillId="0" borderId="14" xfId="0" applyNumberFormat="1" applyFont="1" applyFill="1" applyBorder="1" applyProtection="1">
      <protection locked="0"/>
    </xf>
    <xf numFmtId="44" fontId="5" fillId="0" borderId="12" xfId="5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Protection="1">
      <protection locked="0"/>
    </xf>
    <xf numFmtId="14" fontId="5" fillId="0" borderId="37" xfId="0" applyNumberFormat="1" applyFont="1" applyFill="1" applyBorder="1" applyProtection="1">
      <protection locked="0"/>
    </xf>
    <xf numFmtId="169" fontId="5" fillId="0" borderId="37" xfId="0" applyNumberFormat="1" applyFont="1" applyFill="1" applyBorder="1" applyProtection="1">
      <protection locked="0"/>
    </xf>
    <xf numFmtId="44" fontId="5" fillId="0" borderId="18" xfId="5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Protection="1">
      <protection locked="0"/>
    </xf>
    <xf numFmtId="14" fontId="5" fillId="0" borderId="4" xfId="0" applyNumberFormat="1" applyFont="1" applyFill="1" applyBorder="1" applyProtection="1">
      <protection locked="0"/>
    </xf>
    <xf numFmtId="169" fontId="5" fillId="0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44" fontId="5" fillId="0" borderId="30" xfId="5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4" fontId="5" fillId="0" borderId="60" xfId="0" applyNumberFormat="1" applyFont="1" applyFill="1" applyBorder="1" applyProtection="1">
      <protection locked="0"/>
    </xf>
    <xf numFmtId="169" fontId="5" fillId="0" borderId="5" xfId="0" applyNumberFormat="1" applyFont="1" applyFill="1" applyBorder="1" applyProtection="1">
      <protection locked="0"/>
    </xf>
    <xf numFmtId="44" fontId="5" fillId="0" borderId="10" xfId="5" applyNumberFormat="1" applyFont="1" applyFill="1" applyBorder="1" applyAlignment="1">
      <alignment horizontal="center" vertical="center" wrapText="1"/>
    </xf>
    <xf numFmtId="44" fontId="5" fillId="9" borderId="21" xfId="0" applyNumberFormat="1" applyFont="1" applyFill="1" applyBorder="1" applyAlignment="1" applyProtection="1">
      <protection locked="0"/>
    </xf>
    <xf numFmtId="169" fontId="7" fillId="9" borderId="22" xfId="0" applyNumberFormat="1" applyFont="1" applyFill="1" applyBorder="1" applyProtection="1">
      <protection locked="0"/>
    </xf>
    <xf numFmtId="44" fontId="7" fillId="9" borderId="6" xfId="3" applyNumberFormat="1" applyFont="1" applyFill="1" applyBorder="1" applyAlignment="1" applyProtection="1">
      <alignment horizontal="center"/>
      <protection locked="0"/>
    </xf>
    <xf numFmtId="2" fontId="7" fillId="15" borderId="38" xfId="0" applyNumberFormat="1" applyFont="1" applyFill="1" applyBorder="1" applyAlignment="1" applyProtection="1">
      <protection locked="0"/>
    </xf>
    <xf numFmtId="3" fontId="5" fillId="0" borderId="55" xfId="0" applyNumberFormat="1" applyFont="1" applyBorder="1" applyProtection="1">
      <protection locked="0"/>
    </xf>
    <xf numFmtId="44" fontId="5" fillId="0" borderId="37" xfId="0" applyNumberFormat="1" applyFont="1" applyBorder="1" applyProtection="1">
      <protection locked="0"/>
    </xf>
    <xf numFmtId="44" fontId="9" fillId="0" borderId="37" xfId="3" applyNumberFormat="1" applyFont="1" applyFill="1" applyBorder="1" applyProtection="1">
      <protection locked="0"/>
    </xf>
    <xf numFmtId="44" fontId="5" fillId="0" borderId="40" xfId="3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44" fontId="5" fillId="0" borderId="18" xfId="5" applyNumberFormat="1" applyFont="1" applyBorder="1" applyAlignment="1">
      <alignment horizontal="center" vertical="center" wrapText="1"/>
    </xf>
    <xf numFmtId="169" fontId="5" fillId="0" borderId="4" xfId="0" applyNumberFormat="1" applyFont="1" applyBorder="1" applyProtection="1"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0" fontId="5" fillId="0" borderId="18" xfId="5" applyFont="1" applyBorder="1" applyAlignment="1">
      <alignment horizontal="center" vertical="center" wrapText="1"/>
    </xf>
    <xf numFmtId="4" fontId="5" fillId="0" borderId="4" xfId="0" applyNumberFormat="1" applyFont="1" applyFill="1" applyBorder="1" applyProtection="1">
      <protection locked="0"/>
    </xf>
    <xf numFmtId="44" fontId="5" fillId="0" borderId="30" xfId="5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 applyProtection="1">
      <alignment horizontal="right"/>
      <protection locked="0"/>
    </xf>
    <xf numFmtId="14" fontId="5" fillId="0" borderId="60" xfId="0" applyNumberFormat="1" applyFont="1" applyBorder="1" applyProtection="1">
      <protection locked="0"/>
    </xf>
    <xf numFmtId="4" fontId="5" fillId="0" borderId="53" xfId="0" applyNumberFormat="1" applyFont="1" applyBorder="1" applyProtection="1">
      <protection locked="0"/>
    </xf>
    <xf numFmtId="44" fontId="7" fillId="5" borderId="23" xfId="3" applyNumberFormat="1" applyFont="1" applyFill="1" applyBorder="1" applyProtection="1">
      <protection locked="0"/>
    </xf>
    <xf numFmtId="2" fontId="7" fillId="15" borderId="6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Protection="1">
      <protection locked="0"/>
    </xf>
    <xf numFmtId="0" fontId="5" fillId="0" borderId="55" xfId="0" applyNumberFormat="1" applyFont="1" applyFill="1" applyBorder="1" applyProtection="1">
      <protection locked="0"/>
    </xf>
    <xf numFmtId="0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Fill="1" applyBorder="1" applyProtection="1">
      <protection locked="0"/>
    </xf>
    <xf numFmtId="44" fontId="5" fillId="0" borderId="60" xfId="0" applyNumberFormat="1" applyFont="1" applyFill="1" applyBorder="1" applyProtection="1">
      <protection locked="0"/>
    </xf>
    <xf numFmtId="44" fontId="5" fillId="0" borderId="53" xfId="0" applyNumberFormat="1" applyFont="1" applyFill="1" applyBorder="1" applyProtection="1">
      <protection locked="0"/>
    </xf>
    <xf numFmtId="44" fontId="9" fillId="0" borderId="53" xfId="3" applyNumberFormat="1" applyFont="1" applyFill="1" applyBorder="1" applyProtection="1">
      <protection locked="0"/>
    </xf>
    <xf numFmtId="44" fontId="5" fillId="0" borderId="34" xfId="3" applyNumberFormat="1" applyFont="1" applyFill="1" applyBorder="1" applyAlignment="1" applyProtection="1">
      <alignment horizontal="center"/>
      <protection locked="0"/>
    </xf>
    <xf numFmtId="3" fontId="5" fillId="0" borderId="55" xfId="0" applyNumberFormat="1" applyFont="1" applyFill="1" applyBorder="1" applyProtection="1">
      <protection locked="0"/>
    </xf>
    <xf numFmtId="44" fontId="5" fillId="0" borderId="37" xfId="0" applyNumberFormat="1" applyFont="1" applyFill="1" applyBorder="1" applyProtection="1">
      <protection locked="0"/>
    </xf>
    <xf numFmtId="44" fontId="5" fillId="0" borderId="4" xfId="0" applyNumberFormat="1" applyFont="1" applyFill="1" applyBorder="1" applyProtection="1">
      <protection locked="0"/>
    </xf>
    <xf numFmtId="3" fontId="5" fillId="0" borderId="5" xfId="0" applyNumberFormat="1" applyFont="1" applyFill="1" applyBorder="1" applyProtection="1">
      <protection locked="0"/>
    </xf>
    <xf numFmtId="44" fontId="5" fillId="0" borderId="5" xfId="0" applyNumberFormat="1" applyFont="1" applyFill="1" applyBorder="1" applyProtection="1">
      <protection locked="0"/>
    </xf>
    <xf numFmtId="44" fontId="7" fillId="8" borderId="43" xfId="0" applyNumberFormat="1" applyFont="1" applyFill="1" applyBorder="1" applyAlignment="1" applyProtection="1">
      <alignment horizontal="center"/>
      <protection locked="0"/>
    </xf>
    <xf numFmtId="3" fontId="7" fillId="8" borderId="59" xfId="0" applyNumberFormat="1" applyFont="1" applyFill="1" applyBorder="1" applyAlignment="1" applyProtection="1">
      <alignment horizontal="center"/>
      <protection locked="0"/>
    </xf>
    <xf numFmtId="44" fontId="7" fillId="8" borderId="44" xfId="0" applyNumberFormat="1" applyFont="1" applyFill="1" applyBorder="1" applyAlignment="1" applyProtection="1">
      <alignment horizontal="center"/>
      <protection locked="0"/>
    </xf>
    <xf numFmtId="169" fontId="7" fillId="8" borderId="44" xfId="0" applyNumberFormat="1" applyFont="1" applyFill="1" applyBorder="1" applyAlignment="1" applyProtection="1">
      <alignment horizontal="center"/>
      <protection locked="0"/>
    </xf>
    <xf numFmtId="44" fontId="7" fillId="8" borderId="59" xfId="0" applyNumberFormat="1" applyFont="1" applyFill="1" applyBorder="1" applyAlignment="1" applyProtection="1">
      <alignment horizontal="center"/>
      <protection locked="0"/>
    </xf>
    <xf numFmtId="44" fontId="4" fillId="0" borderId="46" xfId="7" applyNumberFormat="1" applyFont="1" applyFill="1" applyBorder="1" applyAlignment="1">
      <alignment horizontal="left" wrapText="1"/>
    </xf>
    <xf numFmtId="44" fontId="5" fillId="0" borderId="45" xfId="6" applyNumberFormat="1" applyFont="1" applyFill="1" applyBorder="1" applyAlignment="1">
      <alignment horizontal="right" vertical="center"/>
    </xf>
    <xf numFmtId="44" fontId="5" fillId="0" borderId="37" xfId="6" applyNumberFormat="1" applyFont="1" applyFill="1" applyBorder="1" applyAlignment="1">
      <alignment horizontal="right" vertical="center"/>
    </xf>
    <xf numFmtId="44" fontId="5" fillId="7" borderId="46" xfId="6" applyNumberFormat="1" applyFont="1" applyFill="1" applyBorder="1" applyAlignment="1">
      <alignment horizontal="right" vertical="center"/>
    </xf>
    <xf numFmtId="44" fontId="5" fillId="0" borderId="46" xfId="6" applyNumberFormat="1" applyFont="1" applyFill="1" applyBorder="1" applyAlignment="1">
      <alignment horizontal="right" vertical="center"/>
    </xf>
    <xf numFmtId="44" fontId="7" fillId="0" borderId="45" xfId="6" applyNumberFormat="1" applyFont="1" applyFill="1" applyBorder="1" applyAlignment="1">
      <alignment horizontal="right" vertical="center"/>
    </xf>
    <xf numFmtId="44" fontId="7" fillId="0" borderId="37" xfId="6" applyNumberFormat="1" applyFont="1" applyFill="1" applyBorder="1" applyAlignment="1">
      <alignment horizontal="right" vertical="center"/>
    </xf>
    <xf numFmtId="44" fontId="7" fillId="0" borderId="46" xfId="6" applyNumberFormat="1" applyFont="1" applyFill="1" applyBorder="1" applyAlignment="1">
      <alignment horizontal="right" vertical="center"/>
    </xf>
    <xf numFmtId="44" fontId="7" fillId="0" borderId="19" xfId="6" applyNumberFormat="1" applyFont="1" applyFill="1" applyBorder="1" applyAlignment="1">
      <alignment vertical="center"/>
    </xf>
    <xf numFmtId="44" fontId="7" fillId="0" borderId="4" xfId="6" applyNumberFormat="1" applyFont="1" applyFill="1" applyBorder="1" applyAlignment="1">
      <alignment vertical="center"/>
    </xf>
    <xf numFmtId="44" fontId="5" fillId="0" borderId="45" xfId="5" applyNumberFormat="1" applyFont="1" applyBorder="1" applyAlignment="1">
      <alignment horizontal="left" vertical="center" wrapText="1"/>
    </xf>
    <xf numFmtId="44" fontId="4" fillId="0" borderId="46" xfId="7" applyNumberFormat="1" applyFont="1" applyBorder="1" applyAlignment="1">
      <alignment horizontal="left" wrapText="1"/>
    </xf>
    <xf numFmtId="44" fontId="5" fillId="6" borderId="45" xfId="6" applyNumberFormat="1" applyFont="1" applyFill="1" applyBorder="1" applyAlignment="1">
      <alignment horizontal="right" vertical="center"/>
    </xf>
    <xf numFmtId="44" fontId="5" fillId="6" borderId="37" xfId="6" applyNumberFormat="1" applyFont="1" applyFill="1" applyBorder="1" applyAlignment="1">
      <alignment horizontal="right" vertical="center"/>
    </xf>
    <xf numFmtId="44" fontId="5" fillId="0" borderId="19" xfId="5" applyNumberFormat="1" applyFont="1" applyBorder="1" applyAlignment="1">
      <alignment horizontal="left" vertical="center" wrapText="1"/>
    </xf>
    <xf numFmtId="44" fontId="5" fillId="0" borderId="19" xfId="6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vertical="center" wrapText="1"/>
    </xf>
    <xf numFmtId="44" fontId="9" fillId="0" borderId="0" xfId="0" applyNumberFormat="1" applyFont="1" applyBorder="1" applyAlignment="1">
      <alignment vertical="center"/>
    </xf>
    <xf numFmtId="44" fontId="8" fillId="0" borderId="0" xfId="0" applyNumberFormat="1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 applyProtection="1">
      <alignment horizontal="left" vertical="center" wrapText="1"/>
    </xf>
    <xf numFmtId="44" fontId="7" fillId="11" borderId="21" xfId="6" applyNumberFormat="1" applyFont="1" applyFill="1" applyBorder="1" applyAlignment="1">
      <alignment horizontal="right" vertical="center"/>
    </xf>
    <xf numFmtId="44" fontId="5" fillId="11" borderId="23" xfId="6" applyNumberFormat="1" applyFont="1" applyFill="1" applyBorder="1" applyAlignment="1">
      <alignment horizontal="right" vertical="center"/>
    </xf>
    <xf numFmtId="44" fontId="7" fillId="11" borderId="22" xfId="6" applyNumberFormat="1" applyFont="1" applyFill="1" applyBorder="1" applyAlignment="1">
      <alignment horizontal="right" vertical="center"/>
    </xf>
    <xf numFmtId="44" fontId="7" fillId="11" borderId="23" xfId="6" applyNumberFormat="1" applyFont="1" applyFill="1" applyBorder="1" applyAlignment="1">
      <alignment horizontal="right" vertical="center"/>
    </xf>
    <xf numFmtId="44" fontId="4" fillId="0" borderId="46" xfId="0" applyNumberFormat="1" applyFont="1" applyFill="1" applyBorder="1" applyAlignment="1">
      <alignment horizontal="left" vertical="center"/>
    </xf>
    <xf numFmtId="44" fontId="4" fillId="0" borderId="26" xfId="0" applyNumberFormat="1" applyFont="1" applyFill="1" applyBorder="1" applyAlignment="1">
      <alignment horizontal="left" vertical="center" wrapText="1"/>
    </xf>
    <xf numFmtId="44" fontId="5" fillId="6" borderId="26" xfId="7" applyNumberFormat="1" applyFont="1" applyFill="1" applyBorder="1" applyAlignment="1">
      <alignment horizontal="left" vertical="center" wrapText="1"/>
    </xf>
    <xf numFmtId="44" fontId="5" fillId="0" borderId="26" xfId="7" applyNumberFormat="1" applyFont="1" applyFill="1" applyBorder="1" applyAlignment="1">
      <alignment horizontal="left" vertical="center" wrapText="1"/>
    </xf>
    <xf numFmtId="44" fontId="5" fillId="6" borderId="46" xfId="7" applyNumberFormat="1" applyFont="1" applyFill="1" applyBorder="1" applyAlignment="1">
      <alignment horizontal="left" vertical="center" wrapText="1"/>
    </xf>
    <xf numFmtId="44" fontId="4" fillId="0" borderId="4" xfId="0" applyNumberFormat="1" applyFont="1" applyBorder="1" applyAlignment="1">
      <alignment horizontal="left" wrapText="1"/>
    </xf>
    <xf numFmtId="44" fontId="5" fillId="6" borderId="19" xfId="6" applyNumberFormat="1" applyFont="1" applyFill="1" applyBorder="1" applyAlignment="1">
      <alignment horizontal="right" vertical="center"/>
    </xf>
    <xf numFmtId="44" fontId="5" fillId="6" borderId="4" xfId="6" applyNumberFormat="1" applyFont="1" applyFill="1" applyBorder="1" applyAlignment="1">
      <alignment horizontal="right" vertical="center"/>
    </xf>
    <xf numFmtId="44" fontId="5" fillId="0" borderId="20" xfId="5" applyNumberFormat="1" applyFont="1" applyBorder="1" applyAlignment="1">
      <alignment horizontal="left" vertical="center" wrapText="1"/>
    </xf>
    <xf numFmtId="44" fontId="7" fillId="13" borderId="21" xfId="6" applyNumberFormat="1" applyFont="1" applyFill="1" applyBorder="1" applyAlignment="1">
      <alignment horizontal="right" vertical="center"/>
    </xf>
    <xf numFmtId="44" fontId="5" fillId="13" borderId="23" xfId="6" applyNumberFormat="1" applyFont="1" applyFill="1" applyBorder="1" applyAlignment="1">
      <alignment horizontal="right" vertical="center"/>
    </xf>
    <xf numFmtId="44" fontId="7" fillId="13" borderId="22" xfId="6" applyNumberFormat="1" applyFont="1" applyFill="1" applyBorder="1" applyAlignment="1">
      <alignment horizontal="right" vertical="center"/>
    </xf>
    <xf numFmtId="44" fontId="7" fillId="13" borderId="23" xfId="6" applyNumberFormat="1" applyFont="1" applyFill="1" applyBorder="1" applyAlignment="1">
      <alignment horizontal="right" vertical="center"/>
    </xf>
    <xf numFmtId="44" fontId="5" fillId="12" borderId="45" xfId="6" applyNumberFormat="1" applyFont="1" applyFill="1" applyBorder="1" applyAlignment="1">
      <alignment horizontal="right" vertical="center"/>
    </xf>
    <xf numFmtId="44" fontId="7" fillId="12" borderId="45" xfId="6" applyNumberFormat="1" applyFont="1" applyFill="1" applyBorder="1" applyAlignment="1">
      <alignment horizontal="right" vertical="center"/>
    </xf>
    <xf numFmtId="44" fontId="7" fillId="12" borderId="37" xfId="6" applyNumberFormat="1" applyFont="1" applyFill="1" applyBorder="1" applyAlignment="1">
      <alignment horizontal="right" vertical="center"/>
    </xf>
    <xf numFmtId="44" fontId="7" fillId="12" borderId="46" xfId="6" applyNumberFormat="1" applyFont="1" applyFill="1" applyBorder="1" applyAlignment="1">
      <alignment horizontal="right" vertical="center"/>
    </xf>
    <xf numFmtId="44" fontId="5" fillId="12" borderId="19" xfId="6" applyNumberFormat="1" applyFont="1" applyFill="1" applyBorder="1" applyAlignment="1">
      <alignment horizontal="right" vertical="center"/>
    </xf>
    <xf numFmtId="44" fontId="5" fillId="12" borderId="26" xfId="6" applyNumberFormat="1" applyFont="1" applyFill="1" applyBorder="1" applyAlignment="1">
      <alignment horizontal="right" vertical="center"/>
    </xf>
    <xf numFmtId="44" fontId="7" fillId="12" borderId="19" xfId="6" applyNumberFormat="1" applyFont="1" applyFill="1" applyBorder="1" applyAlignment="1">
      <alignment horizontal="right" vertical="center"/>
    </xf>
    <xf numFmtId="44" fontId="7" fillId="12" borderId="4" xfId="6" applyNumberFormat="1" applyFont="1" applyFill="1" applyBorder="1" applyAlignment="1">
      <alignment horizontal="right" vertical="center"/>
    </xf>
    <xf numFmtId="44" fontId="7" fillId="12" borderId="26" xfId="6" applyNumberFormat="1" applyFont="1" applyFill="1" applyBorder="1" applyAlignment="1">
      <alignment horizontal="right" vertical="center"/>
    </xf>
    <xf numFmtId="44" fontId="5" fillId="6" borderId="19" xfId="7" applyNumberFormat="1" applyFont="1" applyFill="1" applyBorder="1" applyAlignment="1">
      <alignment vertical="center" wrapText="1"/>
    </xf>
    <xf numFmtId="44" fontId="5" fillId="6" borderId="4" xfId="7" applyNumberFormat="1" applyFont="1" applyFill="1" applyBorder="1" applyAlignment="1">
      <alignment vertical="center" wrapText="1"/>
    </xf>
    <xf numFmtId="44" fontId="5" fillId="0" borderId="0" xfId="0" applyNumberFormat="1" applyFont="1" applyBorder="1" applyAlignment="1">
      <alignment horizontal="left"/>
    </xf>
    <xf numFmtId="44" fontId="5" fillId="0" borderId="0" xfId="7" applyNumberFormat="1" applyFont="1" applyBorder="1" applyAlignment="1">
      <alignment horizontal="left"/>
    </xf>
    <xf numFmtId="44" fontId="5" fillId="0" borderId="0" xfId="0" applyNumberFormat="1" applyFont="1" applyBorder="1"/>
    <xf numFmtId="44" fontId="5" fillId="0" borderId="0" xfId="3" applyNumberFormat="1" applyFont="1" applyFill="1" applyBorder="1"/>
    <xf numFmtId="44" fontId="9" fillId="0" borderId="0" xfId="0" applyNumberFormat="1" applyFont="1" applyBorder="1"/>
    <xf numFmtId="44" fontId="9" fillId="0" borderId="0" xfId="3" applyNumberFormat="1" applyFont="1" applyFill="1" applyBorder="1"/>
    <xf numFmtId="0" fontId="4" fillId="0" borderId="0" xfId="0" applyFont="1" applyAlignment="1">
      <alignment horizontal="left"/>
    </xf>
    <xf numFmtId="0" fontId="11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44" fontId="4" fillId="0" borderId="0" xfId="0" applyNumberFormat="1" applyFont="1"/>
    <xf numFmtId="44" fontId="5" fillId="0" borderId="26" xfId="7" applyNumberFormat="1" applyFont="1" applyFill="1" applyBorder="1" applyAlignment="1">
      <alignment horizontal="left"/>
    </xf>
    <xf numFmtId="44" fontId="4" fillId="0" borderId="28" xfId="7" applyNumberFormat="1" applyFont="1" applyFill="1" applyBorder="1" applyAlignment="1">
      <alignment horizontal="left" wrapText="1"/>
    </xf>
    <xf numFmtId="44" fontId="5" fillId="0" borderId="20" xfId="6" applyNumberFormat="1" applyFont="1" applyFill="1" applyBorder="1" applyAlignment="1">
      <alignment horizontal="right" vertical="center"/>
    </xf>
    <xf numFmtId="44" fontId="5" fillId="0" borderId="5" xfId="6" applyNumberFormat="1" applyFont="1" applyFill="1" applyBorder="1" applyAlignment="1">
      <alignment horizontal="right" vertical="center"/>
    </xf>
    <xf numFmtId="44" fontId="9" fillId="0" borderId="4" xfId="0" applyNumberFormat="1" applyFont="1" applyFill="1" applyBorder="1" applyAlignment="1" applyProtection="1">
      <alignment horizontal="left" vertical="center" wrapText="1"/>
    </xf>
    <xf numFmtId="44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165" fontId="4" fillId="0" borderId="0" xfId="9" applyFont="1"/>
    <xf numFmtId="165" fontId="4" fillId="0" borderId="0" xfId="0" applyNumberFormat="1" applyFont="1"/>
    <xf numFmtId="0" fontId="12" fillId="0" borderId="5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44" fontId="5" fillId="0" borderId="45" xfId="5" applyNumberFormat="1" applyFont="1" applyFill="1" applyBorder="1" applyAlignment="1">
      <alignment vertical="center" wrapText="1"/>
    </xf>
    <xf numFmtId="44" fontId="5" fillId="0" borderId="19" xfId="5" applyNumberFormat="1" applyFont="1" applyFill="1" applyBorder="1" applyAlignment="1">
      <alignment vertical="center" wrapText="1"/>
    </xf>
    <xf numFmtId="44" fontId="5" fillId="0" borderId="20" xfId="5" applyNumberFormat="1" applyFont="1" applyFill="1" applyBorder="1" applyAlignment="1">
      <alignment vertical="center" wrapText="1"/>
    </xf>
    <xf numFmtId="0" fontId="12" fillId="6" borderId="65" xfId="0" applyFont="1" applyFill="1" applyBorder="1" applyAlignment="1">
      <alignment horizontal="left" vertical="center" wrapText="1"/>
    </xf>
    <xf numFmtId="44" fontId="9" fillId="0" borderId="4" xfId="3" applyNumberFormat="1" applyFont="1" applyFill="1" applyBorder="1" applyProtection="1">
      <protection locked="0"/>
    </xf>
    <xf numFmtId="44" fontId="9" fillId="0" borderId="36" xfId="3" applyNumberFormat="1" applyFont="1" applyFill="1" applyBorder="1" applyProtection="1">
      <protection locked="0"/>
    </xf>
    <xf numFmtId="44" fontId="7" fillId="5" borderId="22" xfId="3" applyNumberFormat="1" applyFont="1" applyFill="1" applyBorder="1" applyProtection="1">
      <protection locked="0"/>
    </xf>
    <xf numFmtId="44" fontId="5" fillId="0" borderId="13" xfId="5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44" fontId="4" fillId="0" borderId="25" xfId="7" applyNumberFormat="1" applyFont="1" applyFill="1" applyBorder="1" applyAlignment="1">
      <alignment horizontal="left" wrapText="1"/>
    </xf>
    <xf numFmtId="44" fontId="4" fillId="0" borderId="67" xfId="7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4" fontId="5" fillId="0" borderId="68" xfId="5" applyNumberFormat="1" applyFont="1" applyBorder="1" applyAlignment="1">
      <alignment horizontal="left" vertical="center" wrapText="1"/>
    </xf>
    <xf numFmtId="44" fontId="5" fillId="0" borderId="14" xfId="5" applyNumberFormat="1" applyFont="1" applyBorder="1" applyAlignment="1">
      <alignment horizontal="left" vertical="center" wrapText="1"/>
    </xf>
    <xf numFmtId="44" fontId="5" fillId="0" borderId="52" xfId="5" applyNumberFormat="1" applyFont="1" applyFill="1" applyBorder="1" applyAlignment="1">
      <alignment horizontal="left" vertical="center" wrapText="1"/>
    </xf>
    <xf numFmtId="44" fontId="4" fillId="0" borderId="66" xfId="7" applyNumberFormat="1" applyFont="1" applyFill="1" applyBorder="1" applyAlignment="1">
      <alignment horizontal="left" wrapText="1"/>
    </xf>
    <xf numFmtId="44" fontId="5" fillId="0" borderId="52" xfId="6" applyNumberFormat="1" applyFont="1" applyFill="1" applyBorder="1" applyAlignment="1">
      <alignment horizontal="right" vertical="center"/>
    </xf>
    <xf numFmtId="44" fontId="5" fillId="7" borderId="66" xfId="6" applyNumberFormat="1" applyFont="1" applyFill="1" applyBorder="1" applyAlignment="1">
      <alignment horizontal="right" vertical="center"/>
    </xf>
    <xf numFmtId="44" fontId="5" fillId="0" borderId="66" xfId="6" applyNumberFormat="1" applyFont="1" applyFill="1" applyBorder="1" applyAlignment="1">
      <alignment horizontal="right" vertical="center"/>
    </xf>
    <xf numFmtId="170" fontId="6" fillId="0" borderId="4" xfId="9" applyNumberFormat="1" applyFont="1" applyBorder="1"/>
    <xf numFmtId="14" fontId="5" fillId="0" borderId="4" xfId="0" applyNumberFormat="1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Protection="1">
      <protection locked="0"/>
    </xf>
    <xf numFmtId="170" fontId="16" fillId="6" borderId="4" xfId="9" applyNumberFormat="1" applyFont="1" applyFill="1" applyBorder="1" applyProtection="1">
      <protection locked="0"/>
    </xf>
    <xf numFmtId="171" fontId="5" fillId="0" borderId="14" xfId="9" applyNumberFormat="1" applyFont="1" applyFill="1" applyBorder="1" applyProtection="1">
      <protection locked="0"/>
    </xf>
    <xf numFmtId="171" fontId="5" fillId="0" borderId="37" xfId="9" applyNumberFormat="1" applyFont="1" applyFill="1" applyBorder="1" applyProtection="1">
      <protection locked="0"/>
    </xf>
    <xf numFmtId="171" fontId="5" fillId="0" borderId="4" xfId="9" applyNumberFormat="1" applyFont="1" applyFill="1" applyBorder="1" applyProtection="1">
      <protection locked="0"/>
    </xf>
    <xf numFmtId="171" fontId="5" fillId="0" borderId="5" xfId="9" applyNumberFormat="1" applyFont="1" applyFill="1" applyBorder="1" applyProtection="1">
      <protection locked="0"/>
    </xf>
    <xf numFmtId="172" fontId="7" fillId="9" borderId="22" xfId="0" applyNumberFormat="1" applyFont="1" applyFill="1" applyBorder="1" applyProtection="1">
      <protection locked="0"/>
    </xf>
    <xf numFmtId="173" fontId="7" fillId="15" borderId="6" xfId="1" applyNumberFormat="1" applyFont="1" applyFill="1" applyBorder="1" applyAlignment="1" applyProtection="1">
      <protection locked="0"/>
    </xf>
    <xf numFmtId="172" fontId="5" fillId="0" borderId="37" xfId="0" applyNumberFormat="1" applyFont="1" applyFill="1" applyBorder="1" applyProtection="1">
      <protection locked="0"/>
    </xf>
    <xf numFmtId="172" fontId="5" fillId="0" borderId="4" xfId="0" applyNumberFormat="1" applyFont="1" applyFill="1" applyBorder="1" applyProtection="1">
      <protection locked="0"/>
    </xf>
    <xf numFmtId="44" fontId="5" fillId="0" borderId="4" xfId="5" applyNumberFormat="1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 applyProtection="1">
      <protection locked="0"/>
    </xf>
    <xf numFmtId="0" fontId="0" fillId="0" borderId="4" xfId="0" applyBorder="1"/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>
      <alignment horizontal="center"/>
    </xf>
    <xf numFmtId="0" fontId="4" fillId="0" borderId="4" xfId="0" applyFont="1" applyBorder="1"/>
    <xf numFmtId="44" fontId="5" fillId="0" borderId="41" xfId="5" applyNumberFormat="1" applyFont="1" applyFill="1" applyBorder="1" applyAlignment="1">
      <alignment horizontal="center" vertical="center" wrapText="1"/>
    </xf>
    <xf numFmtId="44" fontId="5" fillId="0" borderId="52" xfId="0" applyNumberFormat="1" applyFont="1" applyBorder="1" applyAlignment="1" applyProtection="1">
      <alignment horizontal="center"/>
      <protection locked="0"/>
    </xf>
    <xf numFmtId="173" fontId="7" fillId="15" borderId="69" xfId="1" applyNumberFormat="1" applyFont="1" applyFill="1" applyBorder="1" applyAlignment="1" applyProtection="1">
      <protection locked="0"/>
    </xf>
    <xf numFmtId="171" fontId="0" fillId="0" borderId="4" xfId="9" applyNumberFormat="1" applyFont="1" applyBorder="1"/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5" fontId="17" fillId="0" borderId="0" xfId="9" applyFont="1" applyFill="1" applyBorder="1" applyAlignment="1">
      <alignment horizontal="left" vertical="center"/>
    </xf>
    <xf numFmtId="165" fontId="17" fillId="0" borderId="0" xfId="9" applyFont="1" applyFill="1" applyBorder="1" applyAlignment="1">
      <alignment vertical="center"/>
    </xf>
    <xf numFmtId="165" fontId="15" fillId="0" borderId="0" xfId="9" applyFont="1" applyFill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165" fontId="14" fillId="0" borderId="5" xfId="9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165" fontId="14" fillId="0" borderId="37" xfId="9" applyFont="1" applyFill="1" applyBorder="1" applyAlignment="1">
      <alignment horizontal="center" vertical="center"/>
    </xf>
    <xf numFmtId="1" fontId="14" fillId="0" borderId="37" xfId="0" quotePrefix="1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165" fontId="14" fillId="0" borderId="4" xfId="9" applyFont="1" applyFill="1" applyBorder="1" applyAlignment="1">
      <alignment vertical="center"/>
    </xf>
    <xf numFmtId="0" fontId="15" fillId="0" borderId="4" xfId="0" quotePrefix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/>
    </xf>
    <xf numFmtId="165" fontId="15" fillId="0" borderId="4" xfId="9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/>
    </xf>
    <xf numFmtId="165" fontId="15" fillId="19" borderId="4" xfId="9" applyFont="1" applyFill="1" applyBorder="1" applyAlignment="1">
      <alignment vertical="center"/>
    </xf>
    <xf numFmtId="165" fontId="15" fillId="18" borderId="0" xfId="9" applyFont="1" applyFill="1" applyBorder="1" applyAlignment="1">
      <alignment vertical="center" wrapText="1"/>
    </xf>
    <xf numFmtId="165" fontId="14" fillId="18" borderId="0" xfId="9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165" fontId="14" fillId="0" borderId="4" xfId="9" applyFont="1" applyFill="1" applyBorder="1" applyAlignment="1">
      <alignment horizontal="center" vertical="center"/>
    </xf>
    <xf numFmtId="49" fontId="15" fillId="0" borderId="4" xfId="0" quotePrefix="1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vertical="center"/>
    </xf>
    <xf numFmtId="164" fontId="15" fillId="18" borderId="0" xfId="0" applyNumberFormat="1" applyFont="1" applyFill="1" applyAlignment="1">
      <alignment vertical="center" wrapText="1"/>
    </xf>
    <xf numFmtId="165" fontId="15" fillId="18" borderId="0" xfId="9" applyFont="1" applyFill="1" applyAlignment="1">
      <alignment vertical="center"/>
    </xf>
    <xf numFmtId="164" fontId="15" fillId="18" borderId="0" xfId="0" applyNumberFormat="1" applyFont="1" applyFill="1" applyAlignment="1">
      <alignment vertical="center"/>
    </xf>
    <xf numFmtId="165" fontId="14" fillId="18" borderId="70" xfId="9" applyFont="1" applyFill="1" applyBorder="1" applyAlignment="1">
      <alignment vertical="center" wrapText="1"/>
    </xf>
    <xf numFmtId="14" fontId="4" fillId="0" borderId="4" xfId="0" applyNumberFormat="1" applyFont="1" applyFill="1" applyBorder="1" applyProtection="1">
      <protection locked="0"/>
    </xf>
    <xf numFmtId="3" fontId="4" fillId="0" borderId="4" xfId="0" applyNumberFormat="1" applyFont="1" applyBorder="1" applyAlignment="1" applyProtection="1"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165" fontId="15" fillId="6" borderId="0" xfId="9" applyFont="1" applyFill="1" applyBorder="1" applyAlignment="1">
      <alignment vertical="center" wrapText="1"/>
    </xf>
    <xf numFmtId="0" fontId="19" fillId="6" borderId="0" xfId="0" applyFont="1" applyFill="1" applyAlignment="1">
      <alignment horizontal="left" vertical="center" wrapText="1"/>
    </xf>
    <xf numFmtId="165" fontId="14" fillId="6" borderId="0" xfId="9" applyFont="1" applyFill="1" applyBorder="1" applyAlignment="1">
      <alignment vertical="center" wrapText="1"/>
    </xf>
    <xf numFmtId="0" fontId="15" fillId="6" borderId="64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170" fontId="14" fillId="0" borderId="4" xfId="0" applyNumberFormat="1" applyFont="1" applyBorder="1" applyAlignment="1">
      <alignment vertical="center"/>
    </xf>
    <xf numFmtId="170" fontId="15" fillId="0" borderId="4" xfId="0" quotePrefix="1" applyNumberFormat="1" applyFont="1" applyBorder="1" applyAlignment="1">
      <alignment vertical="center"/>
    </xf>
    <xf numFmtId="165" fontId="15" fillId="6" borderId="4" xfId="9" applyFont="1" applyFill="1" applyBorder="1" applyAlignment="1">
      <alignment vertical="center"/>
    </xf>
    <xf numFmtId="14" fontId="15" fillId="0" borderId="37" xfId="0" applyNumberFormat="1" applyFont="1" applyBorder="1" applyAlignment="1">
      <alignment vertical="center"/>
    </xf>
    <xf numFmtId="0" fontId="4" fillId="6" borderId="4" xfId="0" applyFont="1" applyFill="1" applyBorder="1" applyAlignment="1">
      <alignment horizontal="center"/>
    </xf>
    <xf numFmtId="0" fontId="0" fillId="6" borderId="4" xfId="0" applyFont="1" applyFill="1" applyBorder="1" applyProtection="1">
      <protection locked="0"/>
    </xf>
    <xf numFmtId="0" fontId="14" fillId="6" borderId="37" xfId="0" applyFont="1" applyFill="1" applyBorder="1" applyAlignment="1">
      <alignment horizontal="center" vertical="center"/>
    </xf>
    <xf numFmtId="170" fontId="0" fillId="6" borderId="4" xfId="9" applyNumberFormat="1" applyFont="1" applyFill="1" applyBorder="1" applyProtection="1">
      <protection locked="0"/>
    </xf>
    <xf numFmtId="0" fontId="1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 applyProtection="1">
      <alignment horizontal="center"/>
      <protection locked="0"/>
    </xf>
    <xf numFmtId="3" fontId="5" fillId="6" borderId="4" xfId="0" applyNumberFormat="1" applyFont="1" applyFill="1" applyBorder="1" applyAlignment="1" applyProtection="1">
      <protection locked="0"/>
    </xf>
    <xf numFmtId="0" fontId="0" fillId="6" borderId="4" xfId="0" applyFill="1" applyBorder="1"/>
    <xf numFmtId="170" fontId="15" fillId="0" borderId="0" xfId="0" applyNumberFormat="1" applyFont="1" applyAlignment="1">
      <alignment vertical="center"/>
    </xf>
    <xf numFmtId="0" fontId="5" fillId="6" borderId="4" xfId="0" applyFont="1" applyFill="1" applyBorder="1" applyAlignment="1">
      <alignment horizontal="center"/>
    </xf>
    <xf numFmtId="0" fontId="16" fillId="6" borderId="4" xfId="0" applyFont="1" applyFill="1" applyBorder="1" applyProtection="1">
      <protection locked="0"/>
    </xf>
    <xf numFmtId="171" fontId="16" fillId="6" borderId="4" xfId="9" applyNumberFormat="1" applyFont="1" applyFill="1" applyBorder="1"/>
    <xf numFmtId="0" fontId="16" fillId="6" borderId="4" xfId="0" applyFont="1" applyFill="1" applyBorder="1"/>
    <xf numFmtId="0" fontId="14" fillId="0" borderId="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" fontId="5" fillId="0" borderId="4" xfId="0" applyNumberFormat="1" applyFont="1" applyFill="1" applyBorder="1" applyAlignment="1" applyProtection="1">
      <protection locked="0"/>
    </xf>
    <xf numFmtId="172" fontId="5" fillId="0" borderId="4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44" fontId="5" fillId="0" borderId="3" xfId="5" applyNumberFormat="1" applyFont="1" applyBorder="1" applyAlignment="1">
      <alignment horizontal="center" vertical="center" wrapText="1"/>
    </xf>
    <xf numFmtId="170" fontId="5" fillId="6" borderId="4" xfId="9" applyNumberFormat="1" applyFont="1" applyFill="1" applyBorder="1"/>
    <xf numFmtId="171" fontId="1" fillId="0" borderId="4" xfId="9" applyNumberFormat="1" applyFont="1" applyBorder="1"/>
    <xf numFmtId="170" fontId="4" fillId="0" borderId="4" xfId="9" applyNumberFormat="1" applyFont="1" applyBorder="1"/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70" fontId="5" fillId="0" borderId="4" xfId="9" applyNumberFormat="1" applyFont="1" applyBorder="1"/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70" fontId="5" fillId="0" borderId="4" xfId="9" applyNumberFormat="1" applyFont="1" applyFill="1" applyBorder="1" applyAlignment="1">
      <alignment horizontal="center" vertical="center"/>
    </xf>
    <xf numFmtId="170" fontId="0" fillId="0" borderId="4" xfId="9" applyNumberFormat="1" applyFont="1" applyFill="1" applyBorder="1" applyProtection="1">
      <protection locked="0"/>
    </xf>
    <xf numFmtId="0" fontId="4" fillId="6" borderId="37" xfId="0" applyFont="1" applyFill="1" applyBorder="1" applyAlignment="1">
      <alignment horizontal="center"/>
    </xf>
    <xf numFmtId="0" fontId="0" fillId="6" borderId="37" xfId="0" applyFill="1" applyBorder="1" applyProtection="1">
      <protection locked="0"/>
    </xf>
    <xf numFmtId="170" fontId="16" fillId="6" borderId="37" xfId="9" applyNumberFormat="1" applyFont="1" applyFill="1" applyBorder="1" applyProtection="1">
      <protection locked="0"/>
    </xf>
    <xf numFmtId="0" fontId="0" fillId="0" borderId="71" xfId="0" applyBorder="1"/>
    <xf numFmtId="44" fontId="5" fillId="0" borderId="72" xfId="5" applyNumberFormat="1" applyFont="1" applyBorder="1" applyAlignment="1">
      <alignment horizontal="center" vertical="center" wrapText="1"/>
    </xf>
    <xf numFmtId="0" fontId="0" fillId="6" borderId="71" xfId="0" applyFill="1" applyBorder="1" applyProtection="1">
      <protection locked="0"/>
    </xf>
    <xf numFmtId="0" fontId="14" fillId="6" borderId="71" xfId="0" applyFont="1" applyFill="1" applyBorder="1" applyAlignment="1">
      <alignment horizontal="center" vertical="center"/>
    </xf>
    <xf numFmtId="170" fontId="0" fillId="6" borderId="71" xfId="9" applyNumberFormat="1" applyFont="1" applyFill="1" applyBorder="1" applyProtection="1">
      <protection locked="0"/>
    </xf>
    <xf numFmtId="170" fontId="0" fillId="6" borderId="37" xfId="9" applyNumberFormat="1" applyFont="1" applyFill="1" applyBorder="1" applyProtection="1">
      <protection locked="0"/>
    </xf>
    <xf numFmtId="3" fontId="5" fillId="20" borderId="4" xfId="0" applyNumberFormat="1" applyFont="1" applyFill="1" applyBorder="1" applyAlignment="1" applyProtection="1">
      <alignment horizontal="right"/>
      <protection locked="0"/>
    </xf>
    <xf numFmtId="14" fontId="5" fillId="20" borderId="4" xfId="0" applyNumberFormat="1" applyFont="1" applyFill="1" applyBorder="1" applyProtection="1">
      <protection locked="0"/>
    </xf>
    <xf numFmtId="171" fontId="5" fillId="20" borderId="4" xfId="9" applyNumberFormat="1" applyFont="1" applyFill="1" applyBorder="1" applyProtection="1">
      <protection locked="0"/>
    </xf>
    <xf numFmtId="44" fontId="9" fillId="20" borderId="4" xfId="3" applyNumberFormat="1" applyFont="1" applyFill="1" applyBorder="1" applyProtection="1">
      <protection locked="0"/>
    </xf>
    <xf numFmtId="44" fontId="5" fillId="20" borderId="18" xfId="5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 applyProtection="1">
      <alignment horizontal="center"/>
      <protection locked="0"/>
    </xf>
    <xf numFmtId="44" fontId="5" fillId="0" borderId="37" xfId="5" applyNumberFormat="1" applyFont="1" applyFill="1" applyBorder="1" applyAlignment="1">
      <alignment horizontal="center" vertical="center" wrapText="1"/>
    </xf>
    <xf numFmtId="44" fontId="5" fillId="0" borderId="37" xfId="0" applyNumberFormat="1" applyFont="1" applyFill="1" applyBorder="1" applyAlignment="1" applyProtection="1">
      <protection locked="0"/>
    </xf>
    <xf numFmtId="0" fontId="15" fillId="0" borderId="37" xfId="0" applyFont="1" applyBorder="1" applyAlignment="1">
      <alignment horizontal="left" vertical="center"/>
    </xf>
    <xf numFmtId="172" fontId="5" fillId="0" borderId="37" xfId="0" applyNumberFormat="1" applyFont="1" applyFill="1" applyBorder="1" applyAlignment="1" applyProtection="1">
      <protection locked="0"/>
    </xf>
    <xf numFmtId="165" fontId="15" fillId="19" borderId="37" xfId="9" applyFont="1" applyFill="1" applyBorder="1" applyAlignment="1">
      <alignment vertical="center"/>
    </xf>
    <xf numFmtId="14" fontId="5" fillId="0" borderId="71" xfId="0" applyNumberFormat="1" applyFont="1" applyFill="1" applyBorder="1" applyProtection="1">
      <protection locked="0"/>
    </xf>
    <xf numFmtId="3" fontId="5" fillId="0" borderId="71" xfId="0" applyNumberFormat="1" applyFont="1" applyFill="1" applyBorder="1" applyAlignment="1" applyProtection="1">
      <alignment horizontal="center"/>
      <protection locked="0"/>
    </xf>
    <xf numFmtId="44" fontId="5" fillId="0" borderId="71" xfId="5" applyNumberFormat="1" applyFont="1" applyFill="1" applyBorder="1" applyAlignment="1">
      <alignment horizontal="center" vertical="center" wrapText="1"/>
    </xf>
    <xf numFmtId="44" fontId="5" fillId="0" borderId="71" xfId="0" applyNumberFormat="1" applyFont="1" applyFill="1" applyBorder="1" applyAlignment="1" applyProtection="1">
      <protection locked="0"/>
    </xf>
    <xf numFmtId="0" fontId="15" fillId="0" borderId="71" xfId="0" applyFont="1" applyBorder="1" applyAlignment="1">
      <alignment horizontal="left" vertical="center"/>
    </xf>
    <xf numFmtId="172" fontId="5" fillId="0" borderId="71" xfId="0" applyNumberFormat="1" applyFont="1" applyFill="1" applyBorder="1" applyAlignment="1" applyProtection="1">
      <protection locked="0"/>
    </xf>
    <xf numFmtId="165" fontId="15" fillId="19" borderId="71" xfId="9" applyFont="1" applyFill="1" applyBorder="1" applyAlignment="1">
      <alignment vertical="center"/>
    </xf>
    <xf numFmtId="44" fontId="7" fillId="0" borderId="15" xfId="6" applyNumberFormat="1" applyFont="1" applyFill="1" applyBorder="1" applyAlignment="1">
      <alignment horizontal="right" vertical="center"/>
    </xf>
    <xf numFmtId="44" fontId="7" fillId="0" borderId="1" xfId="6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 applyProtection="1">
      <alignment horizontal="center" vertical="center" wrapText="1"/>
    </xf>
    <xf numFmtId="44" fontId="7" fillId="10" borderId="54" xfId="8" applyNumberFormat="1" applyFont="1" applyFill="1" applyBorder="1" applyAlignment="1">
      <alignment horizontal="right" vertical="center"/>
    </xf>
    <xf numFmtId="44" fontId="7" fillId="0" borderId="56" xfId="6" applyNumberFormat="1" applyFont="1" applyFill="1" applyBorder="1" applyAlignment="1">
      <alignment horizontal="right" vertical="center"/>
    </xf>
    <xf numFmtId="4" fontId="0" fillId="0" borderId="0" xfId="0" applyNumberFormat="1"/>
    <xf numFmtId="4" fontId="4" fillId="0" borderId="0" xfId="0" applyNumberFormat="1" applyFont="1"/>
    <xf numFmtId="4" fontId="8" fillId="0" borderId="21" xfId="0" applyNumberFormat="1" applyFont="1" applyFill="1" applyBorder="1" applyAlignment="1" applyProtection="1">
      <alignment horizontal="center" vertical="center"/>
    </xf>
    <xf numFmtId="4" fontId="8" fillId="0" borderId="6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Border="1"/>
    <xf numFmtId="4" fontId="4" fillId="0" borderId="26" xfId="0" applyNumberFormat="1" applyFont="1" applyBorder="1"/>
    <xf numFmtId="4" fontId="4" fillId="0" borderId="20" xfId="0" applyNumberFormat="1" applyFont="1" applyBorder="1"/>
    <xf numFmtId="4" fontId="4" fillId="0" borderId="28" xfId="0" applyNumberFormat="1" applyFont="1" applyBorder="1"/>
    <xf numFmtId="4" fontId="7" fillId="10" borderId="21" xfId="8" applyNumberFormat="1" applyFont="1" applyFill="1" applyBorder="1" applyAlignment="1">
      <alignment horizontal="right" vertical="center"/>
    </xf>
    <xf numFmtId="4" fontId="7" fillId="10" borderId="6" xfId="8" applyNumberFormat="1" applyFont="1" applyFill="1" applyBorder="1" applyAlignment="1">
      <alignment horizontal="right" vertical="center"/>
    </xf>
    <xf numFmtId="4" fontId="4" fillId="0" borderId="13" xfId="0" applyNumberFormat="1" applyFont="1" applyBorder="1"/>
    <xf numFmtId="4" fontId="4" fillId="0" borderId="25" xfId="0" applyNumberFormat="1" applyFont="1" applyBorder="1"/>
    <xf numFmtId="4" fontId="4" fillId="0" borderId="27" xfId="0" applyNumberFormat="1" applyFont="1" applyBorder="1"/>
    <xf numFmtId="4" fontId="4" fillId="0" borderId="67" xfId="0" applyNumberFormat="1" applyFont="1" applyBorder="1"/>
    <xf numFmtId="4" fontId="7" fillId="10" borderId="43" xfId="8" applyNumberFormat="1" applyFont="1" applyFill="1" applyBorder="1" applyAlignment="1">
      <alignment horizontal="right" vertical="center"/>
    </xf>
    <xf numFmtId="4" fontId="7" fillId="10" borderId="38" xfId="8" applyNumberFormat="1" applyFont="1" applyFill="1" applyBorder="1" applyAlignment="1">
      <alignment horizontal="right" vertical="center"/>
    </xf>
    <xf numFmtId="4" fontId="4" fillId="0" borderId="21" xfId="0" applyNumberFormat="1" applyFont="1" applyBorder="1"/>
    <xf numFmtId="4" fontId="4" fillId="0" borderId="23" xfId="0" applyNumberFormat="1" applyFont="1" applyBorder="1"/>
    <xf numFmtId="4" fontId="4" fillId="0" borderId="69" xfId="0" applyNumberFormat="1" applyFont="1" applyBorder="1"/>
    <xf numFmtId="4" fontId="4" fillId="0" borderId="34" xfId="0" applyNumberFormat="1" applyFont="1" applyBorder="1"/>
    <xf numFmtId="4" fontId="7" fillId="11" borderId="21" xfId="6" applyNumberFormat="1" applyFont="1" applyFill="1" applyBorder="1" applyAlignment="1">
      <alignment horizontal="right" vertical="center"/>
    </xf>
    <xf numFmtId="4" fontId="7" fillId="11" borderId="6" xfId="6" applyNumberFormat="1" applyFont="1" applyFill="1" applyBorder="1" applyAlignment="1">
      <alignment horizontal="right" vertical="center"/>
    </xf>
    <xf numFmtId="4" fontId="7" fillId="10" borderId="74" xfId="8" applyNumberFormat="1" applyFont="1" applyFill="1" applyBorder="1" applyAlignment="1">
      <alignment horizontal="right" vertical="center"/>
    </xf>
    <xf numFmtId="4" fontId="7" fillId="10" borderId="23" xfId="8" applyNumberFormat="1" applyFont="1" applyFill="1" applyBorder="1" applyAlignment="1">
      <alignment horizontal="right" vertical="center"/>
    </xf>
    <xf numFmtId="4" fontId="7" fillId="11" borderId="9" xfId="6" applyNumberFormat="1" applyFont="1" applyFill="1" applyBorder="1" applyAlignment="1">
      <alignment horizontal="right" vertical="center"/>
    </xf>
    <xf numFmtId="4" fontId="7" fillId="11" borderId="23" xfId="6" applyNumberFormat="1" applyFont="1" applyFill="1" applyBorder="1" applyAlignment="1">
      <alignment horizontal="right" vertical="center"/>
    </xf>
    <xf numFmtId="4" fontId="7" fillId="13" borderId="9" xfId="6" applyNumberFormat="1" applyFont="1" applyFill="1" applyBorder="1" applyAlignment="1">
      <alignment horizontal="right" vertical="center"/>
    </xf>
    <xf numFmtId="4" fontId="7" fillId="13" borderId="23" xfId="6" applyNumberFormat="1" applyFont="1" applyFill="1" applyBorder="1" applyAlignment="1">
      <alignment horizontal="right" vertical="center"/>
    </xf>
    <xf numFmtId="4" fontId="7" fillId="12" borderId="68" xfId="6" applyNumberFormat="1" applyFont="1" applyFill="1" applyBorder="1" applyAlignment="1">
      <alignment horizontal="right" vertical="center"/>
    </xf>
    <xf numFmtId="4" fontId="7" fillId="12" borderId="46" xfId="6" applyNumberFormat="1" applyFont="1" applyFill="1" applyBorder="1" applyAlignment="1">
      <alignment horizontal="right" vertical="center"/>
    </xf>
    <xf numFmtId="4" fontId="5" fillId="12" borderId="17" xfId="6" applyNumberFormat="1" applyFont="1" applyFill="1" applyBorder="1" applyAlignment="1">
      <alignment horizontal="right" vertical="center"/>
    </xf>
    <xf numFmtId="4" fontId="5" fillId="12" borderId="26" xfId="6" applyNumberFormat="1" applyFont="1" applyFill="1" applyBorder="1" applyAlignment="1">
      <alignment horizontal="right" vertical="center"/>
    </xf>
    <xf numFmtId="4" fontId="4" fillId="0" borderId="45" xfId="0" applyNumberFormat="1" applyFont="1" applyBorder="1"/>
    <xf numFmtId="4" fontId="4" fillId="0" borderId="46" xfId="0" applyNumberFormat="1" applyFont="1" applyBorder="1"/>
    <xf numFmtId="4" fontId="7" fillId="11" borderId="43" xfId="6" applyNumberFormat="1" applyFont="1" applyFill="1" applyBorder="1" applyAlignment="1">
      <alignment horizontal="right" vertical="center"/>
    </xf>
    <xf numFmtId="4" fontId="7" fillId="11" borderId="38" xfId="6" applyNumberFormat="1" applyFont="1" applyFill="1" applyBorder="1" applyAlignment="1">
      <alignment horizontal="right" vertical="center"/>
    </xf>
    <xf numFmtId="4" fontId="7" fillId="13" borderId="21" xfId="6" applyNumberFormat="1" applyFont="1" applyFill="1" applyBorder="1" applyAlignment="1">
      <alignment horizontal="right" vertical="center"/>
    </xf>
    <xf numFmtId="4" fontId="7" fillId="13" borderId="6" xfId="6" applyNumberFormat="1" applyFont="1" applyFill="1" applyBorder="1" applyAlignment="1">
      <alignment horizontal="right" vertical="center"/>
    </xf>
    <xf numFmtId="44" fontId="5" fillId="0" borderId="73" xfId="5" applyNumberFormat="1" applyFont="1" applyFill="1" applyBorder="1" applyAlignment="1">
      <alignment horizontal="center" vertical="center" wrapText="1"/>
    </xf>
    <xf numFmtId="3" fontId="5" fillId="0" borderId="71" xfId="0" applyNumberFormat="1" applyFont="1" applyFill="1" applyBorder="1" applyProtection="1">
      <protection locked="0"/>
    </xf>
    <xf numFmtId="171" fontId="5" fillId="0" borderId="71" xfId="9" applyNumberFormat="1" applyFont="1" applyFill="1" applyBorder="1" applyProtection="1">
      <protection locked="0"/>
    </xf>
    <xf numFmtId="44" fontId="9" fillId="0" borderId="71" xfId="3" applyNumberFormat="1" applyFont="1" applyFill="1" applyBorder="1" applyProtection="1">
      <protection locked="0"/>
    </xf>
    <xf numFmtId="44" fontId="5" fillId="0" borderId="76" xfId="5" applyNumberFormat="1" applyFont="1" applyFill="1" applyBorder="1" applyAlignment="1">
      <alignment horizontal="center" vertical="center" wrapText="1"/>
    </xf>
    <xf numFmtId="3" fontId="5" fillId="0" borderId="71" xfId="0" applyNumberFormat="1" applyFont="1" applyFill="1" applyBorder="1" applyAlignment="1" applyProtection="1">
      <alignment horizontal="right"/>
      <protection locked="0"/>
    </xf>
    <xf numFmtId="49" fontId="14" fillId="0" borderId="77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6" borderId="55" xfId="0" applyNumberFormat="1" applyFont="1" applyFill="1" applyBorder="1" applyAlignment="1">
      <alignment horizontal="center" vertical="center"/>
    </xf>
    <xf numFmtId="44" fontId="5" fillId="0" borderId="55" xfId="5" applyNumberFormat="1" applyFont="1" applyBorder="1" applyAlignment="1">
      <alignment horizontal="center" vertical="center" wrapText="1"/>
    </xf>
    <xf numFmtId="0" fontId="15" fillId="6" borderId="3" xfId="5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14" fontId="15" fillId="0" borderId="56" xfId="0" applyNumberFormat="1" applyFont="1" applyBorder="1" applyAlignment="1">
      <alignment vertical="center"/>
    </xf>
    <xf numFmtId="14" fontId="4" fillId="6" borderId="1" xfId="0" applyNumberFormat="1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14" fontId="4" fillId="6" borderId="75" xfId="0" applyNumberFormat="1" applyFont="1" applyFill="1" applyBorder="1" applyAlignment="1">
      <alignment horizontal="center"/>
    </xf>
    <xf numFmtId="14" fontId="0" fillId="6" borderId="56" xfId="0" applyNumberFormat="1" applyFill="1" applyBorder="1" applyProtection="1">
      <protection locked="0"/>
    </xf>
    <xf numFmtId="14" fontId="0" fillId="6" borderId="1" xfId="0" applyNumberFormat="1" applyFill="1" applyBorder="1" applyProtection="1">
      <protection locked="0"/>
    </xf>
    <xf numFmtId="14" fontId="0" fillId="6" borderId="1" xfId="0" applyNumberFormat="1" applyFont="1" applyFill="1" applyBorder="1" applyProtection="1">
      <protection locked="0"/>
    </xf>
    <xf numFmtId="14" fontId="16" fillId="6" borderId="1" xfId="0" applyNumberFormat="1" applyFont="1" applyFill="1" applyBorder="1" applyProtection="1">
      <protection locked="0"/>
    </xf>
    <xf numFmtId="14" fontId="5" fillId="6" borderId="1" xfId="0" applyNumberFormat="1" applyFont="1" applyFill="1" applyBorder="1" applyProtection="1">
      <protection locked="0"/>
    </xf>
    <xf numFmtId="14" fontId="5" fillId="6" borderId="1" xfId="0" applyNumberFormat="1" applyFont="1" applyFill="1" applyBorder="1" applyAlignment="1" applyProtection="1">
      <alignment horizontal="center"/>
      <protection locked="0"/>
    </xf>
    <xf numFmtId="14" fontId="5" fillId="6" borderId="75" xfId="0" applyNumberFormat="1" applyFont="1" applyFill="1" applyBorder="1" applyAlignment="1" applyProtection="1">
      <alignment horizontal="center"/>
      <protection locked="0"/>
    </xf>
    <xf numFmtId="14" fontId="5" fillId="6" borderId="56" xfId="0" applyNumberFormat="1" applyFont="1" applyFill="1" applyBorder="1" applyAlignment="1" applyProtection="1">
      <alignment horizontal="center"/>
      <protection locked="0"/>
    </xf>
    <xf numFmtId="14" fontId="0" fillId="6" borderId="1" xfId="0" applyNumberFormat="1" applyFill="1" applyBorder="1"/>
    <xf numFmtId="14" fontId="16" fillId="6" borderId="1" xfId="0" applyNumberFormat="1" applyFont="1" applyFill="1" applyBorder="1"/>
    <xf numFmtId="14" fontId="15" fillId="0" borderId="1" xfId="0" quotePrefix="1" applyNumberFormat="1" applyFont="1" applyBorder="1" applyAlignment="1">
      <alignment vertical="center"/>
    </xf>
    <xf numFmtId="44" fontId="5" fillId="0" borderId="71" xfId="5" applyNumberFormat="1" applyFont="1" applyBorder="1" applyAlignment="1">
      <alignment horizontal="center" vertical="center" wrapText="1"/>
    </xf>
    <xf numFmtId="44" fontId="5" fillId="0" borderId="37" xfId="5" applyNumberFormat="1" applyFont="1" applyBorder="1" applyAlignment="1">
      <alignment horizontal="center" vertical="center" wrapText="1"/>
    </xf>
    <xf numFmtId="44" fontId="5" fillId="0" borderId="4" xfId="5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14" fillId="6" borderId="3" xfId="0" applyNumberFormat="1" applyFont="1" applyFill="1" applyBorder="1" applyAlignment="1">
      <alignment horizontal="center"/>
    </xf>
    <xf numFmtId="14" fontId="4" fillId="6" borderId="4" xfId="0" applyNumberFormat="1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vertical="center"/>
    </xf>
    <xf numFmtId="14" fontId="5" fillId="0" borderId="37" xfId="0" applyNumberFormat="1" applyFont="1" applyBorder="1" applyProtection="1">
      <protection locked="0"/>
    </xf>
    <xf numFmtId="3" fontId="5" fillId="0" borderId="37" xfId="0" applyNumberFormat="1" applyFont="1" applyBorder="1" applyProtection="1">
      <protection locked="0"/>
    </xf>
    <xf numFmtId="14" fontId="0" fillId="6" borderId="4" xfId="0" applyNumberFormat="1" applyFill="1" applyBorder="1"/>
    <xf numFmtId="171" fontId="0" fillId="6" borderId="4" xfId="9" applyNumberFormat="1" applyFont="1" applyFill="1" applyBorder="1"/>
    <xf numFmtId="171" fontId="5" fillId="0" borderId="37" xfId="9" applyNumberFormat="1" applyFont="1" applyBorder="1" applyProtection="1">
      <protection locked="0"/>
    </xf>
    <xf numFmtId="0" fontId="0" fillId="0" borderId="0" xfId="0" applyBorder="1"/>
    <xf numFmtId="171" fontId="5" fillId="0" borderId="4" xfId="9" applyNumberFormat="1" applyFont="1" applyBorder="1" applyProtection="1">
      <protection locked="0"/>
    </xf>
    <xf numFmtId="2" fontId="7" fillId="15" borderId="69" xfId="0" applyNumberFormat="1" applyFont="1" applyFill="1" applyBorder="1" applyAlignment="1" applyProtection="1">
      <protection locked="0"/>
    </xf>
    <xf numFmtId="14" fontId="0" fillId="6" borderId="4" xfId="0" applyNumberFormat="1" applyFill="1" applyBorder="1" applyAlignment="1">
      <alignment horizontal="center"/>
    </xf>
    <xf numFmtId="44" fontId="5" fillId="9" borderId="33" xfId="0" applyNumberFormat="1" applyFont="1" applyFill="1" applyBorder="1" applyAlignment="1" applyProtection="1">
      <alignment horizontal="center"/>
      <protection locked="0"/>
    </xf>
    <xf numFmtId="44" fontId="5" fillId="9" borderId="8" xfId="0" applyNumberFormat="1" applyFont="1" applyFill="1" applyBorder="1" applyAlignment="1" applyProtection="1">
      <alignment horizontal="center"/>
      <protection locked="0"/>
    </xf>
    <xf numFmtId="3" fontId="7" fillId="9" borderId="54" xfId="0" applyNumberFormat="1" applyFont="1" applyFill="1" applyBorder="1" applyAlignment="1" applyProtection="1">
      <alignment horizontal="center"/>
      <protection locked="0"/>
    </xf>
    <xf numFmtId="3" fontId="7" fillId="9" borderId="58" xfId="0" applyNumberFormat="1" applyFont="1" applyFill="1" applyBorder="1" applyAlignment="1" applyProtection="1">
      <alignment horizontal="center"/>
      <protection locked="0"/>
    </xf>
    <xf numFmtId="44" fontId="9" fillId="0" borderId="20" xfId="5" applyNumberFormat="1" applyFont="1" applyFill="1" applyBorder="1" applyAlignment="1">
      <alignment vertical="center" wrapText="1"/>
    </xf>
    <xf numFmtId="0" fontId="13" fillId="6" borderId="65" xfId="0" applyFont="1" applyFill="1" applyBorder="1" applyAlignment="1">
      <alignment horizontal="left" vertical="center" wrapText="1"/>
    </xf>
    <xf numFmtId="44" fontId="9" fillId="0" borderId="26" xfId="7" applyNumberFormat="1" applyFont="1" applyFill="1" applyBorder="1" applyAlignment="1">
      <alignment horizontal="left" wrapText="1"/>
    </xf>
    <xf numFmtId="44" fontId="9" fillId="0" borderId="19" xfId="6" applyNumberFormat="1" applyFont="1" applyFill="1" applyBorder="1" applyAlignment="1">
      <alignment horizontal="right" vertical="center"/>
    </xf>
    <xf numFmtId="44" fontId="9" fillId="0" borderId="4" xfId="6" applyNumberFormat="1" applyFont="1" applyFill="1" applyBorder="1" applyAlignment="1">
      <alignment horizontal="right" vertical="center"/>
    </xf>
    <xf numFmtId="44" fontId="9" fillId="7" borderId="26" xfId="6" applyNumberFormat="1" applyFont="1" applyFill="1" applyBorder="1" applyAlignment="1">
      <alignment horizontal="right" vertical="center"/>
    </xf>
    <xf numFmtId="44" fontId="9" fillId="0" borderId="26" xfId="6" applyNumberFormat="1" applyFont="1" applyFill="1" applyBorder="1" applyAlignment="1">
      <alignment horizontal="right" vertical="center"/>
    </xf>
    <xf numFmtId="44" fontId="8" fillId="0" borderId="19" xfId="6" applyNumberFormat="1" applyFont="1" applyFill="1" applyBorder="1" applyAlignment="1">
      <alignment horizontal="right" vertical="center"/>
    </xf>
    <xf numFmtId="44" fontId="8" fillId="0" borderId="4" xfId="6" applyNumberFormat="1" applyFont="1" applyFill="1" applyBorder="1" applyAlignment="1">
      <alignment horizontal="right" vertical="center"/>
    </xf>
    <xf numFmtId="44" fontId="8" fillId="0" borderId="26" xfId="6" applyNumberFormat="1" applyFont="1" applyFill="1" applyBorder="1" applyAlignment="1">
      <alignment horizontal="right" vertical="center"/>
    </xf>
    <xf numFmtId="0" fontId="9" fillId="0" borderId="0" xfId="0" applyFont="1"/>
    <xf numFmtId="44" fontId="9" fillId="0" borderId="19" xfId="5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44" fontId="8" fillId="0" borderId="26" xfId="7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>
      <alignment horizontal="center"/>
    </xf>
    <xf numFmtId="44" fontId="5" fillId="0" borderId="3" xfId="0" applyNumberFormat="1" applyFont="1" applyFill="1" applyBorder="1" applyAlignment="1" applyProtection="1">
      <protection locked="0"/>
    </xf>
    <xf numFmtId="44" fontId="5" fillId="0" borderId="5" xfId="5" applyNumberFormat="1" applyFont="1" applyFill="1" applyBorder="1" applyAlignment="1">
      <alignment horizontal="center" vertical="center" wrapText="1"/>
    </xf>
    <xf numFmtId="44" fontId="5" fillId="0" borderId="4" xfId="3" applyNumberFormat="1" applyFont="1" applyFill="1" applyBorder="1" applyAlignment="1" applyProtection="1">
      <alignment horizontal="center"/>
      <protection locked="0"/>
    </xf>
    <xf numFmtId="44" fontId="5" fillId="0" borderId="4" xfId="0" applyNumberFormat="1" applyFont="1" applyBorder="1" applyAlignment="1" applyProtection="1">
      <protection locked="0"/>
    </xf>
    <xf numFmtId="0" fontId="5" fillId="0" borderId="4" xfId="5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14" fontId="5" fillId="0" borderId="5" xfId="0" applyNumberFormat="1" applyFont="1" applyFill="1" applyBorder="1" applyProtection="1">
      <protection locked="0"/>
    </xf>
    <xf numFmtId="172" fontId="5" fillId="0" borderId="5" xfId="0" applyNumberFormat="1" applyFont="1" applyFill="1" applyBorder="1" applyProtection="1">
      <protection locked="0"/>
    </xf>
    <xf numFmtId="44" fontId="9" fillId="0" borderId="5" xfId="3" applyNumberFormat="1" applyFont="1" applyFill="1" applyBorder="1" applyProtection="1">
      <protection locked="0"/>
    </xf>
    <xf numFmtId="14" fontId="4" fillId="6" borderId="56" xfId="0" applyNumberFormat="1" applyFont="1" applyFill="1" applyBorder="1" applyAlignment="1">
      <alignment horizontal="right"/>
    </xf>
    <xf numFmtId="14" fontId="4" fillId="6" borderId="1" xfId="0" applyNumberFormat="1" applyFont="1" applyFill="1" applyBorder="1" applyAlignment="1">
      <alignment horizontal="right"/>
    </xf>
    <xf numFmtId="14" fontId="4" fillId="6" borderId="4" xfId="0" applyNumberFormat="1" applyFont="1" applyFill="1" applyBorder="1" applyAlignment="1">
      <alignment horizontal="right"/>
    </xf>
    <xf numFmtId="14" fontId="5" fillId="0" borderId="4" xfId="0" applyNumberFormat="1" applyFont="1" applyBorder="1" applyAlignment="1" applyProtection="1">
      <alignment horizontal="right"/>
      <protection locked="0"/>
    </xf>
    <xf numFmtId="172" fontId="5" fillId="0" borderId="4" xfId="0" applyNumberFormat="1" applyFont="1" applyBorder="1" applyProtection="1">
      <protection locked="0"/>
    </xf>
    <xf numFmtId="14" fontId="0" fillId="0" borderId="4" xfId="0" applyNumberFormat="1" applyBorder="1"/>
    <xf numFmtId="44" fontId="5" fillId="0" borderId="4" xfId="0" applyNumberFormat="1" applyFont="1" applyBorder="1" applyAlignment="1" applyProtection="1">
      <alignment horizontal="center"/>
      <protection locked="0"/>
    </xf>
    <xf numFmtId="165" fontId="0" fillId="0" borderId="0" xfId="0" applyNumberFormat="1"/>
    <xf numFmtId="1" fontId="5" fillId="0" borderId="4" xfId="0" applyNumberFormat="1" applyFont="1" applyBorder="1" applyProtection="1">
      <protection locked="0"/>
    </xf>
    <xf numFmtId="4" fontId="9" fillId="0" borderId="37" xfId="3" applyNumberFormat="1" applyFont="1" applyFill="1" applyBorder="1" applyProtection="1">
      <protection locked="0"/>
    </xf>
    <xf numFmtId="4" fontId="7" fillId="5" borderId="22" xfId="3" applyNumberFormat="1" applyFont="1" applyFill="1" applyBorder="1" applyProtection="1">
      <protection locked="0"/>
    </xf>
    <xf numFmtId="4" fontId="7" fillId="8" borderId="44" xfId="0" applyNumberFormat="1" applyFont="1" applyFill="1" applyBorder="1" applyAlignment="1" applyProtection="1">
      <alignment horizontal="center"/>
      <protection locked="0"/>
    </xf>
    <xf numFmtId="0" fontId="15" fillId="6" borderId="64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15" fillId="18" borderId="64" xfId="0" applyFont="1" applyFill="1" applyBorder="1" applyAlignment="1">
      <alignment horizontal="left" vertical="center" wrapText="1"/>
    </xf>
    <xf numFmtId="0" fontId="15" fillId="18" borderId="0" xfId="0" applyFont="1" applyFill="1" applyAlignment="1">
      <alignment horizontal="left" vertical="center" wrapText="1"/>
    </xf>
    <xf numFmtId="0" fontId="5" fillId="0" borderId="17" xfId="5" applyFont="1" applyBorder="1" applyAlignment="1">
      <alignment horizontal="center" vertical="center" wrapText="1"/>
    </xf>
    <xf numFmtId="0" fontId="15" fillId="18" borderId="0" xfId="0" applyFont="1" applyFill="1" applyBorder="1" applyAlignment="1">
      <alignment horizontal="left" vertical="center" wrapText="1"/>
    </xf>
    <xf numFmtId="44" fontId="5" fillId="6" borderId="55" xfId="5" applyNumberFormat="1" applyFont="1" applyFill="1" applyBorder="1" applyAlignment="1">
      <alignment horizontal="center" vertical="center" wrapText="1"/>
    </xf>
    <xf numFmtId="44" fontId="5" fillId="6" borderId="4" xfId="5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/>
    </xf>
    <xf numFmtId="44" fontId="5" fillId="6" borderId="3" xfId="5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/>
    </xf>
    <xf numFmtId="170" fontId="0" fillId="6" borderId="4" xfId="0" applyNumberFormat="1" applyFill="1" applyBorder="1"/>
    <xf numFmtId="44" fontId="5" fillId="0" borderId="4" xfId="0" applyNumberFormat="1" applyFont="1" applyBorder="1" applyAlignment="1" applyProtection="1">
      <alignment wrapText="1"/>
      <protection locked="0"/>
    </xf>
    <xf numFmtId="44" fontId="5" fillId="0" borderId="4" xfId="0" applyNumberFormat="1" applyFont="1" applyBorder="1" applyAlignment="1" applyProtection="1">
      <alignment horizontal="center" wrapText="1"/>
      <protection locked="0"/>
    </xf>
    <xf numFmtId="174" fontId="4" fillId="0" borderId="0" xfId="0" applyNumberFormat="1" applyFont="1"/>
    <xf numFmtId="44" fontId="5" fillId="0" borderId="40" xfId="0" applyNumberFormat="1" applyFont="1" applyBorder="1" applyAlignment="1" applyProtection="1">
      <alignment horizontal="center"/>
      <protection locked="0"/>
    </xf>
    <xf numFmtId="0" fontId="15" fillId="6" borderId="64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164" fontId="14" fillId="18" borderId="64" xfId="0" applyNumberFormat="1" applyFont="1" applyFill="1" applyBorder="1" applyAlignment="1">
      <alignment horizontal="left" vertical="center" wrapText="1"/>
    </xf>
    <xf numFmtId="164" fontId="14" fillId="18" borderId="0" xfId="0" applyNumberFormat="1" applyFont="1" applyFill="1" applyAlignment="1">
      <alignment horizontal="left" vertical="center" wrapText="1"/>
    </xf>
    <xf numFmtId="0" fontId="15" fillId="18" borderId="64" xfId="0" applyFont="1" applyFill="1" applyBorder="1" applyAlignment="1">
      <alignment horizontal="left" vertical="center" wrapText="1"/>
    </xf>
    <xf numFmtId="0" fontId="15" fillId="18" borderId="0" xfId="0" applyFont="1" applyFill="1" applyAlignment="1">
      <alignment horizontal="left" vertical="center" wrapText="1"/>
    </xf>
    <xf numFmtId="44" fontId="5" fillId="0" borderId="4" xfId="0" applyNumberFormat="1" applyFont="1" applyBorder="1" applyAlignment="1" applyProtection="1">
      <alignment horizontal="left"/>
      <protection locked="0"/>
    </xf>
    <xf numFmtId="171" fontId="5" fillId="0" borderId="4" xfId="9" applyNumberFormat="1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44" fontId="5" fillId="0" borderId="4" xfId="0" applyNumberFormat="1" applyFont="1" applyBorder="1" applyAlignment="1">
      <alignment horizontal="center"/>
    </xf>
    <xf numFmtId="14" fontId="5" fillId="0" borderId="55" xfId="0" applyNumberFormat="1" applyFont="1" applyBorder="1" applyProtection="1">
      <protection locked="0"/>
    </xf>
    <xf numFmtId="1" fontId="5" fillId="0" borderId="55" xfId="0" applyNumberFormat="1" applyFont="1" applyBorder="1" applyProtection="1">
      <protection locked="0"/>
    </xf>
    <xf numFmtId="0" fontId="5" fillId="0" borderId="55" xfId="0" applyFont="1" applyBorder="1" applyAlignment="1" applyProtection="1">
      <alignment horizontal="right"/>
      <protection locked="0"/>
    </xf>
    <xf numFmtId="14" fontId="5" fillId="0" borderId="3" xfId="0" applyNumberFormat="1" applyFont="1" applyBorder="1" applyProtection="1">
      <protection locked="0"/>
    </xf>
    <xf numFmtId="44" fontId="5" fillId="0" borderId="41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 applyProtection="1">
      <alignment horizontal="right"/>
      <protection locked="0"/>
    </xf>
    <xf numFmtId="0" fontId="5" fillId="0" borderId="40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171" fontId="0" fillId="6" borderId="5" xfId="9" applyNumberFormat="1" applyFont="1" applyFill="1" applyBorder="1"/>
    <xf numFmtId="0" fontId="0" fillId="0" borderId="0" xfId="0" applyFill="1"/>
    <xf numFmtId="171" fontId="15" fillId="18" borderId="64" xfId="9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171" fontId="5" fillId="0" borderId="4" xfId="9" applyNumberFormat="1" applyFont="1" applyFill="1" applyBorder="1" applyAlignment="1" applyProtection="1">
      <protection locked="0"/>
    </xf>
    <xf numFmtId="14" fontId="15" fillId="6" borderId="1" xfId="0" quotePrefix="1" applyNumberFormat="1" applyFont="1" applyFill="1" applyBorder="1" applyAlignment="1">
      <alignment vertical="center"/>
    </xf>
    <xf numFmtId="14" fontId="21" fillId="6" borderId="4" xfId="0" applyNumberFormat="1" applyFont="1" applyFill="1" applyBorder="1"/>
    <xf numFmtId="0" fontId="21" fillId="6" borderId="4" xfId="0" applyFont="1" applyFill="1" applyBorder="1"/>
    <xf numFmtId="0" fontId="21" fillId="6" borderId="4" xfId="0" applyFont="1" applyFill="1" applyBorder="1" applyAlignment="1">
      <alignment horizontal="center"/>
    </xf>
    <xf numFmtId="171" fontId="21" fillId="6" borderId="4" xfId="9" applyNumberFormat="1" applyFont="1" applyFill="1" applyBorder="1"/>
    <xf numFmtId="0" fontId="0" fillId="6" borderId="3" xfId="0" applyFill="1" applyBorder="1" applyAlignment="1">
      <alignment horizontal="center"/>
    </xf>
    <xf numFmtId="0" fontId="0" fillId="6" borderId="1" xfId="0" applyFill="1" applyBorder="1"/>
    <xf numFmtId="171" fontId="5" fillId="6" borderId="4" xfId="9" applyNumberFormat="1" applyFont="1" applyFill="1" applyBorder="1" applyProtection="1">
      <protection locked="0"/>
    </xf>
    <xf numFmtId="14" fontId="0" fillId="6" borderId="5" xfId="0" applyNumberFormat="1" applyFill="1" applyBorder="1"/>
    <xf numFmtId="172" fontId="5" fillId="6" borderId="4" xfId="0" applyNumberFormat="1" applyFont="1" applyFill="1" applyBorder="1" applyProtection="1">
      <protection locked="0"/>
    </xf>
    <xf numFmtId="0" fontId="0" fillId="6" borderId="4" xfId="0" applyFill="1" applyBorder="1" applyAlignment="1" applyProtection="1">
      <protection locked="0"/>
    </xf>
    <xf numFmtId="0" fontId="14" fillId="6" borderId="37" xfId="0" applyFont="1" applyFill="1" applyBorder="1" applyAlignment="1">
      <alignment horizontal="center"/>
    </xf>
    <xf numFmtId="49" fontId="14" fillId="6" borderId="3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6" borderId="4" xfId="0" applyFill="1" applyBorder="1" applyAlignment="1" applyProtection="1">
      <alignment vertical="center" wrapText="1"/>
      <protection locked="0"/>
    </xf>
    <xf numFmtId="170" fontId="16" fillId="6" borderId="4" xfId="9" applyNumberFormat="1" applyFont="1" applyFill="1" applyBorder="1" applyAlignment="1" applyProtection="1">
      <protection locked="0"/>
    </xf>
    <xf numFmtId="170" fontId="16" fillId="6" borderId="4" xfId="9" applyNumberFormat="1" applyFont="1" applyFill="1" applyBorder="1" applyAlignment="1" applyProtection="1">
      <alignment vertical="center"/>
      <protection locked="0"/>
    </xf>
    <xf numFmtId="44" fontId="5" fillId="9" borderId="33" xfId="0" applyNumberFormat="1" applyFont="1" applyFill="1" applyBorder="1" applyAlignment="1" applyProtection="1">
      <alignment horizontal="center"/>
      <protection locked="0"/>
    </xf>
    <xf numFmtId="44" fontId="5" fillId="9" borderId="8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>
      <alignment horizontal="left" vertical="center" wrapText="1"/>
    </xf>
    <xf numFmtId="4" fontId="9" fillId="0" borderId="53" xfId="3" applyNumberFormat="1" applyFont="1" applyFill="1" applyBorder="1" applyProtection="1">
      <protection locked="0"/>
    </xf>
    <xf numFmtId="44" fontId="5" fillId="0" borderId="0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Fill="1" applyBorder="1" applyProtection="1">
      <protection locked="0"/>
    </xf>
    <xf numFmtId="4" fontId="9" fillId="0" borderId="4" xfId="3" applyNumberFormat="1" applyFont="1" applyFill="1" applyBorder="1" applyProtection="1">
      <protection locked="0"/>
    </xf>
    <xf numFmtId="44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right"/>
      <protection locked="0"/>
    </xf>
    <xf numFmtId="171" fontId="15" fillId="0" borderId="4" xfId="9" applyNumberFormat="1" applyFont="1" applyFill="1" applyBorder="1" applyAlignment="1">
      <alignment vertical="center"/>
    </xf>
    <xf numFmtId="171" fontId="15" fillId="0" borderId="4" xfId="9" applyNumberFormat="1" applyFont="1" applyFill="1" applyBorder="1" applyAlignment="1">
      <alignment horizontal="center" vertical="center"/>
    </xf>
    <xf numFmtId="170" fontId="22" fillId="0" borderId="4" xfId="0" applyNumberFormat="1" applyFont="1" applyBorder="1"/>
    <xf numFmtId="165" fontId="15" fillId="0" borderId="0" xfId="9" applyFont="1" applyFill="1" applyBorder="1" applyAlignment="1">
      <alignment vertical="center" wrapText="1"/>
    </xf>
    <xf numFmtId="165" fontId="14" fillId="0" borderId="0" xfId="9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4" fontId="5" fillId="0" borderId="4" xfId="0" applyNumberFormat="1" applyFont="1" applyBorder="1" applyAlignment="1" applyProtection="1">
      <alignment horizontal="center"/>
      <protection locked="0"/>
    </xf>
    <xf numFmtId="0" fontId="15" fillId="6" borderId="0" xfId="0" applyFont="1" applyFill="1" applyBorder="1" applyAlignment="1">
      <alignment horizontal="left" vertical="center" wrapText="1"/>
    </xf>
    <xf numFmtId="0" fontId="15" fillId="18" borderId="0" xfId="0" applyFont="1" applyFill="1" applyAlignment="1">
      <alignment horizontal="left" vertical="center" wrapText="1"/>
    </xf>
    <xf numFmtId="171" fontId="5" fillId="0" borderId="4" xfId="9" applyNumberFormat="1" applyFont="1" applyFill="1" applyBorder="1" applyAlignment="1" applyProtection="1">
      <alignment horizontal="right"/>
      <protection locked="0"/>
    </xf>
    <xf numFmtId="171" fontId="0" fillId="0" borderId="0" xfId="0" applyNumberFormat="1"/>
    <xf numFmtId="3" fontId="4" fillId="0" borderId="0" xfId="0" applyNumberFormat="1" applyFont="1"/>
    <xf numFmtId="3" fontId="4" fillId="15" borderId="0" xfId="0" applyNumberFormat="1" applyFont="1" applyFill="1"/>
    <xf numFmtId="44" fontId="5" fillId="0" borderId="40" xfId="0" applyNumberFormat="1" applyFont="1" applyBorder="1" applyAlignment="1" applyProtection="1">
      <alignment horizontal="center"/>
      <protection locked="0"/>
    </xf>
    <xf numFmtId="44" fontId="8" fillId="0" borderId="52" xfId="0" applyNumberFormat="1" applyFont="1" applyFill="1" applyBorder="1" applyAlignment="1" applyProtection="1">
      <alignment horizontal="center"/>
      <protection locked="0"/>
    </xf>
    <xf numFmtId="0" fontId="15" fillId="18" borderId="0" xfId="0" applyFont="1" applyFill="1" applyAlignment="1">
      <alignment horizontal="left" vertical="center" wrapText="1"/>
    </xf>
    <xf numFmtId="2" fontId="7" fillId="15" borderId="9" xfId="0" applyNumberFormat="1" applyFont="1" applyFill="1" applyBorder="1" applyAlignment="1" applyProtection="1">
      <protection locked="0"/>
    </xf>
    <xf numFmtId="3" fontId="5" fillId="0" borderId="14" xfId="0" applyNumberFormat="1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37" xfId="0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14" fontId="0" fillId="20" borderId="4" xfId="0" applyNumberFormat="1" applyFill="1" applyBorder="1"/>
    <xf numFmtId="0" fontId="0" fillId="20" borderId="4" xfId="0" applyFill="1" applyBorder="1"/>
    <xf numFmtId="0" fontId="0" fillId="20" borderId="4" xfId="0" applyFill="1" applyBorder="1" applyAlignment="1">
      <alignment horizontal="center"/>
    </xf>
    <xf numFmtId="171" fontId="0" fillId="20" borderId="4" xfId="9" applyNumberFormat="1" applyFont="1" applyFill="1" applyBorder="1"/>
    <xf numFmtId="14" fontId="15" fillId="20" borderId="4" xfId="0" applyNumberFormat="1" applyFont="1" applyFill="1" applyBorder="1" applyAlignment="1">
      <alignment vertical="center"/>
    </xf>
    <xf numFmtId="0" fontId="15" fillId="20" borderId="4" xfId="0" applyFont="1" applyFill="1" applyBorder="1" applyAlignment="1">
      <alignment horizontal="left" vertical="center"/>
    </xf>
    <xf numFmtId="0" fontId="15" fillId="20" borderId="4" xfId="0" applyFont="1" applyFill="1" applyBorder="1" applyAlignment="1">
      <alignment vertical="center"/>
    </xf>
    <xf numFmtId="165" fontId="15" fillId="20" borderId="4" xfId="9" applyFont="1" applyFill="1" applyBorder="1" applyAlignment="1">
      <alignment vertical="center"/>
    </xf>
    <xf numFmtId="44" fontId="5" fillId="0" borderId="24" xfId="3" applyNumberFormat="1" applyFont="1" applyFill="1" applyBorder="1" applyAlignment="1" applyProtection="1">
      <alignment horizontal="center"/>
      <protection locked="0"/>
    </xf>
    <xf numFmtId="14" fontId="5" fillId="0" borderId="81" xfId="0" applyNumberFormat="1" applyFont="1" applyBorder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4" fontId="5" fillId="0" borderId="37" xfId="9" applyNumberFormat="1" applyFont="1" applyBorder="1" applyProtection="1">
      <protection locked="0"/>
    </xf>
    <xf numFmtId="171" fontId="5" fillId="0" borderId="53" xfId="9" applyNumberFormat="1" applyFont="1" applyFill="1" applyBorder="1" applyProtection="1">
      <protection locked="0"/>
    </xf>
    <xf numFmtId="171" fontId="7" fillId="5" borderId="23" xfId="9" applyNumberFormat="1" applyFont="1" applyFill="1" applyBorder="1" applyProtection="1">
      <protection locked="0"/>
    </xf>
    <xf numFmtId="14" fontId="5" fillId="0" borderId="37" xfId="9" applyNumberFormat="1" applyFont="1" applyFill="1" applyBorder="1" applyProtection="1">
      <protection locked="0"/>
    </xf>
    <xf numFmtId="14" fontId="5" fillId="0" borderId="4" xfId="9" applyNumberFormat="1" applyFont="1" applyFill="1" applyBorder="1" applyProtection="1">
      <protection locked="0"/>
    </xf>
    <xf numFmtId="14" fontId="5" fillId="0" borderId="60" xfId="9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5" fillId="0" borderId="0" xfId="0" applyNumberFormat="1" applyFont="1" applyBorder="1" applyAlignment="1" applyProtection="1">
      <alignment horizontal="left"/>
      <protection locked="0"/>
    </xf>
    <xf numFmtId="14" fontId="5" fillId="0" borderId="4" xfId="9" applyNumberFormat="1" applyFont="1" applyBorder="1" applyProtection="1"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5" fillId="0" borderId="4" xfId="0" applyFont="1" applyFill="1" applyBorder="1" applyAlignment="1" applyProtection="1">
      <alignment horizontal="center"/>
      <protection locked="0"/>
    </xf>
    <xf numFmtId="44" fontId="5" fillId="0" borderId="40" xfId="0" applyNumberFormat="1" applyFont="1" applyBorder="1" applyAlignment="1" applyProtection="1">
      <alignment horizontal="center"/>
      <protection locked="0"/>
    </xf>
    <xf numFmtId="44" fontId="8" fillId="0" borderId="52" xfId="0" applyNumberFormat="1" applyFont="1" applyFill="1" applyBorder="1" applyAlignment="1" applyProtection="1">
      <alignment horizontal="center"/>
      <protection locked="0"/>
    </xf>
    <xf numFmtId="0" fontId="15" fillId="18" borderId="0" xfId="0" applyFont="1" applyFill="1" applyAlignment="1">
      <alignment horizontal="left" vertical="center" wrapText="1"/>
    </xf>
    <xf numFmtId="0" fontId="19" fillId="18" borderId="0" xfId="0" applyFont="1" applyFill="1" applyAlignment="1">
      <alignment horizontal="left" vertical="center" wrapText="1"/>
    </xf>
    <xf numFmtId="44" fontId="8" fillId="0" borderId="52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19" fillId="18" borderId="0" xfId="0" applyFont="1" applyFill="1" applyAlignment="1">
      <alignment horizontal="left" vertical="center" wrapText="1"/>
    </xf>
    <xf numFmtId="0" fontId="15" fillId="18" borderId="64" xfId="0" applyFont="1" applyFill="1" applyBorder="1" applyAlignment="1">
      <alignment horizontal="left" vertical="center" wrapText="1"/>
    </xf>
    <xf numFmtId="0" fontId="15" fillId="18" borderId="0" xfId="0" applyFont="1" applyFill="1" applyAlignment="1">
      <alignment horizontal="left" vertical="center" wrapText="1"/>
    </xf>
    <xf numFmtId="0" fontId="15" fillId="18" borderId="0" xfId="0" applyFont="1" applyFill="1" applyAlignment="1">
      <alignment vertical="center"/>
    </xf>
    <xf numFmtId="0" fontId="15" fillId="0" borderId="6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171" fontId="22" fillId="0" borderId="4" xfId="9" applyNumberFormat="1" applyFont="1" applyBorder="1"/>
    <xf numFmtId="171" fontId="22" fillId="0" borderId="4" xfId="0" applyNumberFormat="1" applyFont="1" applyBorder="1"/>
    <xf numFmtId="14" fontId="0" fillId="0" borderId="4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70" fontId="0" fillId="0" borderId="4" xfId="0" applyNumberFormat="1" applyFill="1" applyBorder="1"/>
    <xf numFmtId="171" fontId="16" fillId="0" borderId="4" xfId="9" applyNumberFormat="1" applyFont="1" applyFill="1" applyBorder="1"/>
    <xf numFmtId="171" fontId="0" fillId="0" borderId="4" xfId="9" applyNumberFormat="1" applyFont="1" applyFill="1" applyBorder="1"/>
    <xf numFmtId="0" fontId="0" fillId="18" borderId="0" xfId="0" applyFill="1"/>
    <xf numFmtId="0" fontId="14" fillId="18" borderId="64" xfId="0" applyFont="1" applyFill="1" applyBorder="1" applyAlignment="1">
      <alignment vertical="center" wrapText="1"/>
    </xf>
    <xf numFmtId="0" fontId="14" fillId="18" borderId="0" xfId="0" applyFont="1" applyFill="1" applyAlignment="1">
      <alignment vertical="center" wrapText="1"/>
    </xf>
    <xf numFmtId="170" fontId="1" fillId="18" borderId="4" xfId="9" applyNumberFormat="1" applyFont="1" applyFill="1" applyBorder="1" applyProtection="1">
      <protection locked="0"/>
    </xf>
    <xf numFmtId="164" fontId="15" fillId="6" borderId="0" xfId="0" applyNumberFormat="1" applyFont="1" applyFill="1" applyAlignment="1">
      <alignment vertical="center" wrapText="1"/>
    </xf>
    <xf numFmtId="0" fontId="15" fillId="6" borderId="0" xfId="0" applyFont="1" applyFill="1" applyAlignment="1">
      <alignment vertical="center"/>
    </xf>
    <xf numFmtId="165" fontId="15" fillId="6" borderId="0" xfId="9" applyFont="1" applyFill="1" applyAlignment="1">
      <alignment vertical="center"/>
    </xf>
    <xf numFmtId="164" fontId="15" fillId="6" borderId="0" xfId="0" applyNumberFormat="1" applyFont="1" applyFill="1" applyAlignment="1">
      <alignment vertical="center"/>
    </xf>
    <xf numFmtId="171" fontId="15" fillId="6" borderId="64" xfId="9" applyNumberFormat="1" applyFont="1" applyFill="1" applyBorder="1" applyAlignment="1">
      <alignment horizontal="left" vertical="center" wrapText="1"/>
    </xf>
    <xf numFmtId="164" fontId="24" fillId="18" borderId="0" xfId="0" applyNumberFormat="1" applyFont="1" applyFill="1" applyAlignment="1">
      <alignment vertical="center"/>
    </xf>
    <xf numFmtId="175" fontId="14" fillId="18" borderId="0" xfId="9" applyNumberFormat="1" applyFont="1" applyFill="1" applyBorder="1" applyAlignment="1">
      <alignment vertical="center" wrapText="1"/>
    </xf>
    <xf numFmtId="170" fontId="0" fillId="0" borderId="4" xfId="0" applyNumberFormat="1" applyBorder="1"/>
    <xf numFmtId="44" fontId="8" fillId="0" borderId="52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5" fillId="18" borderId="0" xfId="0" applyFont="1" applyFill="1" applyAlignment="1">
      <alignment horizontal="left" vertical="center" wrapText="1"/>
    </xf>
    <xf numFmtId="44" fontId="9" fillId="0" borderId="56" xfId="3" applyNumberFormat="1" applyFont="1" applyFill="1" applyBorder="1" applyProtection="1">
      <protection locked="0"/>
    </xf>
    <xf numFmtId="44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/>
    <xf numFmtId="171" fontId="0" fillId="0" borderId="5" xfId="9" applyNumberFormat="1" applyFont="1" applyBorder="1" applyAlignment="1"/>
    <xf numFmtId="0" fontId="0" fillId="0" borderId="65" xfId="0" applyBorder="1"/>
    <xf numFmtId="0" fontId="22" fillId="0" borderId="4" xfId="0" applyFont="1" applyBorder="1"/>
    <xf numFmtId="3" fontId="22" fillId="0" borderId="4" xfId="0" applyNumberFormat="1" applyFont="1" applyBorder="1" applyAlignment="1"/>
    <xf numFmtId="170" fontId="22" fillId="0" borderId="4" xfId="0" applyNumberFormat="1" applyFont="1" applyBorder="1" applyAlignment="1"/>
    <xf numFmtId="0" fontId="15" fillId="18" borderId="0" xfId="0" applyFont="1" applyFill="1" applyAlignment="1">
      <alignment horizontal="left" vertical="center" wrapText="1"/>
    </xf>
    <xf numFmtId="0" fontId="19" fillId="18" borderId="0" xfId="0" applyFont="1" applyFill="1" applyAlignment="1">
      <alignment horizontal="left" vertical="center" wrapText="1"/>
    </xf>
    <xf numFmtId="44" fontId="5" fillId="0" borderId="4" xfId="0" applyNumberFormat="1" applyFont="1" applyFill="1" applyBorder="1" applyAlignment="1" applyProtection="1">
      <alignment horizontal="center"/>
      <protection locked="0"/>
    </xf>
    <xf numFmtId="44" fontId="5" fillId="0" borderId="29" xfId="0" applyNumberFormat="1" applyFont="1" applyFill="1" applyBorder="1" applyAlignment="1" applyProtection="1">
      <alignment horizontal="center"/>
      <protection locked="0"/>
    </xf>
    <xf numFmtId="44" fontId="5" fillId="0" borderId="42" xfId="0" applyNumberFormat="1" applyFont="1" applyFill="1" applyBorder="1" applyAlignment="1" applyProtection="1">
      <alignment horizontal="center"/>
      <protection locked="0"/>
    </xf>
    <xf numFmtId="44" fontId="8" fillId="0" borderId="52" xfId="0" applyNumberFormat="1" applyFont="1" applyFill="1" applyBorder="1" applyAlignment="1" applyProtection="1">
      <alignment horizontal="center"/>
      <protection locked="0"/>
    </xf>
    <xf numFmtId="44" fontId="5" fillId="0" borderId="4" xfId="0" applyNumberFormat="1" applyFont="1" applyFill="1" applyBorder="1" applyAlignment="1" applyProtection="1">
      <alignment horizontal="center"/>
      <protection locked="0"/>
    </xf>
    <xf numFmtId="44" fontId="7" fillId="8" borderId="32" xfId="0" applyNumberFormat="1" applyFont="1" applyFill="1" applyBorder="1" applyAlignment="1" applyProtection="1">
      <alignment horizontal="center"/>
      <protection locked="0"/>
    </xf>
    <xf numFmtId="44" fontId="5" fillId="0" borderId="40" xfId="0" applyNumberFormat="1" applyFont="1" applyBorder="1" applyAlignment="1" applyProtection="1">
      <alignment horizontal="center"/>
      <protection locked="0"/>
    </xf>
    <xf numFmtId="44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Fill="1" applyBorder="1" applyProtection="1">
      <protection locked="0"/>
    </xf>
    <xf numFmtId="4" fontId="9" fillId="0" borderId="5" xfId="3" applyNumberFormat="1" applyFont="1" applyFill="1" applyBorder="1" applyProtection="1">
      <protection locked="0"/>
    </xf>
    <xf numFmtId="4" fontId="5" fillId="17" borderId="47" xfId="6" applyNumberFormat="1" applyFont="1" applyFill="1" applyBorder="1" applyAlignment="1">
      <alignment horizontal="center" vertical="center"/>
    </xf>
    <xf numFmtId="4" fontId="5" fillId="17" borderId="16" xfId="6" applyNumberFormat="1" applyFont="1" applyFill="1" applyBorder="1" applyAlignment="1">
      <alignment horizontal="center" vertical="center"/>
    </xf>
    <xf numFmtId="4" fontId="5" fillId="16" borderId="47" xfId="0" applyNumberFormat="1" applyFont="1" applyFill="1" applyBorder="1" applyAlignment="1">
      <alignment horizontal="center" vertical="center"/>
    </xf>
    <xf numFmtId="4" fontId="5" fillId="16" borderId="16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66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4" fontId="5" fillId="0" borderId="20" xfId="5" applyNumberFormat="1" applyFont="1" applyFill="1" applyBorder="1" applyAlignment="1">
      <alignment horizontal="left" vertical="center" wrapText="1"/>
    </xf>
    <xf numFmtId="44" fontId="5" fillId="0" borderId="52" xfId="5" applyNumberFormat="1" applyFont="1" applyFill="1" applyBorder="1" applyAlignment="1">
      <alignment horizontal="left" vertical="center" wrapText="1"/>
    </xf>
    <xf numFmtId="44" fontId="5" fillId="0" borderId="45" xfId="5" applyNumberFormat="1" applyFont="1" applyFill="1" applyBorder="1" applyAlignment="1">
      <alignment horizontal="left" vertical="center" wrapText="1"/>
    </xf>
    <xf numFmtId="44" fontId="7" fillId="13" borderId="21" xfId="4" applyNumberFormat="1" applyFont="1" applyFill="1" applyBorder="1" applyAlignment="1">
      <alignment horizontal="left" vertical="center" wrapText="1"/>
    </xf>
    <xf numFmtId="44" fontId="7" fillId="13" borderId="22" xfId="4" applyNumberFormat="1" applyFont="1" applyFill="1" applyBorder="1" applyAlignment="1">
      <alignment horizontal="left" vertical="center" wrapText="1"/>
    </xf>
    <xf numFmtId="44" fontId="7" fillId="13" borderId="23" xfId="4" applyNumberFormat="1" applyFont="1" applyFill="1" applyBorder="1" applyAlignment="1">
      <alignment horizontal="left" vertical="center" wrapText="1"/>
    </xf>
    <xf numFmtId="44" fontId="7" fillId="11" borderId="21" xfId="2" applyNumberFormat="1" applyFont="1" applyFill="1" applyBorder="1" applyAlignment="1">
      <alignment horizontal="left" vertical="center" wrapText="1"/>
    </xf>
    <xf numFmtId="44" fontId="7" fillId="11" borderId="22" xfId="2" applyNumberFormat="1" applyFont="1" applyFill="1" applyBorder="1" applyAlignment="1">
      <alignment horizontal="left" vertical="center" wrapText="1"/>
    </xf>
    <xf numFmtId="44" fontId="7" fillId="11" borderId="23" xfId="2" applyNumberFormat="1" applyFont="1" applyFill="1" applyBorder="1" applyAlignment="1">
      <alignment horizontal="left" vertical="center" wrapText="1"/>
    </xf>
    <xf numFmtId="44" fontId="7" fillId="5" borderId="21" xfId="0" applyNumberFormat="1" applyFont="1" applyFill="1" applyBorder="1" applyAlignment="1">
      <alignment horizontal="left" vertical="center" wrapText="1"/>
    </xf>
    <xf numFmtId="44" fontId="7" fillId="5" borderId="22" xfId="0" applyNumberFormat="1" applyFont="1" applyFill="1" applyBorder="1" applyAlignment="1">
      <alignment horizontal="left" vertical="center" wrapText="1"/>
    </xf>
    <xf numFmtId="44" fontId="7" fillId="5" borderId="23" xfId="0" applyNumberFormat="1" applyFont="1" applyFill="1" applyBorder="1" applyAlignment="1">
      <alignment horizontal="left" vertical="center" wrapText="1"/>
    </xf>
    <xf numFmtId="44" fontId="7" fillId="10" borderId="21" xfId="5" applyNumberFormat="1" applyFont="1" applyFill="1" applyBorder="1" applyAlignment="1">
      <alignment horizontal="left" vertical="center" wrapText="1"/>
    </xf>
    <xf numFmtId="44" fontId="7" fillId="10" borderId="22" xfId="5" applyNumberFormat="1" applyFont="1" applyFill="1" applyBorder="1" applyAlignment="1">
      <alignment horizontal="left" vertical="center" wrapText="1"/>
    </xf>
    <xf numFmtId="44" fontId="7" fillId="10" borderId="23" xfId="5" applyNumberFormat="1" applyFont="1" applyFill="1" applyBorder="1" applyAlignment="1">
      <alignment horizontal="left" vertical="center" wrapText="1"/>
    </xf>
    <xf numFmtId="44" fontId="7" fillId="12" borderId="21" xfId="5" applyNumberFormat="1" applyFont="1" applyFill="1" applyBorder="1" applyAlignment="1">
      <alignment horizontal="left" vertical="center" wrapText="1"/>
    </xf>
    <xf numFmtId="44" fontId="7" fillId="12" borderId="22" xfId="5" applyNumberFormat="1" applyFont="1" applyFill="1" applyBorder="1" applyAlignment="1">
      <alignment horizontal="left" vertical="center" wrapText="1"/>
    </xf>
    <xf numFmtId="44" fontId="7" fillId="12" borderId="23" xfId="5" applyNumberFormat="1" applyFont="1" applyFill="1" applyBorder="1" applyAlignment="1">
      <alignment horizontal="left" vertical="center" wrapText="1"/>
    </xf>
    <xf numFmtId="44" fontId="7" fillId="12" borderId="11" xfId="5" applyNumberFormat="1" applyFont="1" applyFill="1" applyBorder="1" applyAlignment="1">
      <alignment horizontal="left" vertical="center" wrapText="1"/>
    </xf>
    <xf numFmtId="44" fontId="7" fillId="12" borderId="63" xfId="5" applyNumberFormat="1" applyFont="1" applyFill="1" applyBorder="1" applyAlignment="1">
      <alignment horizontal="left" vertical="center" wrapText="1"/>
    </xf>
    <xf numFmtId="44" fontId="7" fillId="12" borderId="50" xfId="5" applyNumberFormat="1" applyFont="1" applyFill="1" applyBorder="1" applyAlignment="1">
      <alignment horizontal="left" vertical="center" wrapText="1"/>
    </xf>
    <xf numFmtId="44" fontId="7" fillId="12" borderId="17" xfId="5" applyNumberFormat="1" applyFont="1" applyFill="1" applyBorder="1" applyAlignment="1">
      <alignment horizontal="left" vertical="center" wrapText="1"/>
    </xf>
    <xf numFmtId="44" fontId="7" fillId="12" borderId="2" xfId="5" applyNumberFormat="1" applyFont="1" applyFill="1" applyBorder="1" applyAlignment="1">
      <alignment horizontal="left" vertical="center" wrapText="1"/>
    </xf>
    <xf numFmtId="44" fontId="7" fillId="12" borderId="41" xfId="5" applyNumberFormat="1" applyFont="1" applyFill="1" applyBorder="1" applyAlignment="1">
      <alignment horizontal="left" vertical="center" wrapText="1"/>
    </xf>
    <xf numFmtId="44" fontId="5" fillId="17" borderId="9" xfId="6" applyNumberFormat="1" applyFont="1" applyFill="1" applyBorder="1" applyAlignment="1">
      <alignment horizontal="center" vertical="center"/>
    </xf>
    <xf numFmtId="44" fontId="5" fillId="17" borderId="33" xfId="6" applyNumberFormat="1" applyFont="1" applyFill="1" applyBorder="1" applyAlignment="1">
      <alignment horizontal="center" vertical="center"/>
    </xf>
    <xf numFmtId="44" fontId="5" fillId="17" borderId="8" xfId="6" applyNumberFormat="1" applyFont="1" applyFill="1" applyBorder="1" applyAlignment="1">
      <alignment horizontal="center" vertical="center"/>
    </xf>
    <xf numFmtId="44" fontId="6" fillId="7" borderId="36" xfId="0" applyNumberFormat="1" applyFont="1" applyFill="1" applyBorder="1" applyAlignment="1" applyProtection="1">
      <alignment horizontal="center" vertical="center" wrapText="1"/>
    </xf>
    <xf numFmtId="44" fontId="6" fillId="7" borderId="44" xfId="0" applyNumberFormat="1" applyFont="1" applyFill="1" applyBorder="1" applyAlignment="1" applyProtection="1">
      <alignment horizontal="center" vertical="center" wrapText="1"/>
    </xf>
    <xf numFmtId="44" fontId="6" fillId="7" borderId="25" xfId="0" applyNumberFormat="1" applyFont="1" applyFill="1" applyBorder="1" applyAlignment="1" applyProtection="1">
      <alignment horizontal="center" vertical="center" wrapText="1"/>
    </xf>
    <xf numFmtId="44" fontId="6" fillId="7" borderId="51" xfId="0" applyNumberFormat="1" applyFont="1" applyFill="1" applyBorder="1" applyAlignment="1" applyProtection="1">
      <alignment horizontal="center" vertical="center" wrapText="1"/>
    </xf>
    <xf numFmtId="0" fontId="7" fillId="10" borderId="57" xfId="5" applyFont="1" applyFill="1" applyBorder="1" applyAlignment="1" applyProtection="1">
      <alignment horizontal="center"/>
    </xf>
    <xf numFmtId="0" fontId="7" fillId="10" borderId="36" xfId="5" applyFont="1" applyFill="1" applyBorder="1" applyAlignment="1" applyProtection="1">
      <alignment horizontal="center"/>
    </xf>
    <xf numFmtId="0" fontId="7" fillId="10" borderId="62" xfId="5" applyFont="1" applyFill="1" applyBorder="1" applyAlignment="1" applyProtection="1">
      <alignment horizontal="center"/>
    </xf>
    <xf numFmtId="44" fontId="7" fillId="10" borderId="9" xfId="5" applyNumberFormat="1" applyFont="1" applyFill="1" applyBorder="1" applyAlignment="1">
      <alignment horizontal="left" vertical="center" wrapText="1"/>
    </xf>
    <xf numFmtId="44" fontId="7" fillId="10" borderId="33" xfId="5" applyNumberFormat="1" applyFont="1" applyFill="1" applyBorder="1" applyAlignment="1">
      <alignment horizontal="left" vertical="center" wrapText="1"/>
    </xf>
    <xf numFmtId="44" fontId="7" fillId="10" borderId="8" xfId="5" applyNumberFormat="1" applyFont="1" applyFill="1" applyBorder="1" applyAlignment="1">
      <alignment horizontal="left" vertical="center" wrapText="1"/>
    </xf>
    <xf numFmtId="44" fontId="7" fillId="5" borderId="21" xfId="0" applyNumberFormat="1" applyFont="1" applyFill="1" applyBorder="1" applyAlignment="1">
      <alignment horizontal="left" vertical="top" wrapText="1"/>
    </xf>
    <xf numFmtId="44" fontId="7" fillId="5" borderId="22" xfId="0" applyNumberFormat="1" applyFont="1" applyFill="1" applyBorder="1" applyAlignment="1">
      <alignment horizontal="left" vertical="top" wrapText="1"/>
    </xf>
    <xf numFmtId="44" fontId="7" fillId="5" borderId="23" xfId="0" applyNumberFormat="1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44" fontId="6" fillId="7" borderId="13" xfId="0" applyNumberFormat="1" applyFont="1" applyFill="1" applyBorder="1" applyAlignment="1" applyProtection="1">
      <alignment horizontal="center" vertical="center" wrapText="1"/>
    </xf>
    <xf numFmtId="44" fontId="6" fillId="7" borderId="27" xfId="0" applyNumberFormat="1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53" xfId="0" applyFont="1" applyFill="1" applyBorder="1" applyAlignment="1">
      <alignment horizontal="left" vertical="center" wrapText="1"/>
    </xf>
    <xf numFmtId="0" fontId="11" fillId="6" borderId="3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10" borderId="21" xfId="5" applyFont="1" applyFill="1" applyBorder="1" applyAlignment="1" applyProtection="1">
      <alignment horizontal="center"/>
    </xf>
    <xf numFmtId="0" fontId="8" fillId="10" borderId="22" xfId="5" applyFont="1" applyFill="1" applyBorder="1" applyAlignment="1" applyProtection="1">
      <alignment horizontal="center"/>
    </xf>
    <xf numFmtId="0" fontId="8" fillId="10" borderId="23" xfId="5" applyFont="1" applyFill="1" applyBorder="1" applyAlignment="1" applyProtection="1">
      <alignment horizontal="center"/>
    </xf>
    <xf numFmtId="0" fontId="5" fillId="16" borderId="9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center" vertical="center" wrapText="1"/>
    </xf>
    <xf numFmtId="44" fontId="7" fillId="0" borderId="33" xfId="0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0" fontId="7" fillId="10" borderId="21" xfId="5" applyFont="1" applyFill="1" applyBorder="1" applyAlignment="1" applyProtection="1">
      <alignment horizontal="center"/>
    </xf>
    <xf numFmtId="0" fontId="7" fillId="10" borderId="22" xfId="5" applyFont="1" applyFill="1" applyBorder="1" applyAlignment="1" applyProtection="1">
      <alignment horizontal="center"/>
    </xf>
    <xf numFmtId="0" fontId="7" fillId="10" borderId="23" xfId="5" applyFont="1" applyFill="1" applyBorder="1" applyAlignment="1" applyProtection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44" fontId="5" fillId="0" borderId="20" xfId="5" applyNumberFormat="1" applyFont="1" applyFill="1" applyBorder="1" applyAlignment="1">
      <alignment vertical="center" wrapText="1"/>
    </xf>
    <xf numFmtId="44" fontId="5" fillId="0" borderId="52" xfId="5" applyNumberFormat="1" applyFont="1" applyFill="1" applyBorder="1" applyAlignment="1">
      <alignment vertical="center" wrapText="1"/>
    </xf>
    <xf numFmtId="44" fontId="5" fillId="0" borderId="45" xfId="5" applyNumberFormat="1" applyFont="1" applyFill="1" applyBorder="1" applyAlignment="1">
      <alignment vertical="center" wrapText="1"/>
    </xf>
    <xf numFmtId="44" fontId="5" fillId="0" borderId="5" xfId="5" applyNumberFormat="1" applyFont="1" applyFill="1" applyBorder="1" applyAlignment="1">
      <alignment vertical="center" wrapText="1"/>
    </xf>
    <xf numFmtId="44" fontId="5" fillId="0" borderId="53" xfId="5" applyNumberFormat="1" applyFont="1" applyFill="1" applyBorder="1" applyAlignment="1">
      <alignment vertical="center" wrapText="1"/>
    </xf>
    <xf numFmtId="44" fontId="5" fillId="0" borderId="37" xfId="5" applyNumberFormat="1" applyFont="1" applyFill="1" applyBorder="1" applyAlignment="1">
      <alignment vertical="center" wrapText="1"/>
    </xf>
    <xf numFmtId="44" fontId="7" fillId="5" borderId="9" xfId="0" applyNumberFormat="1" applyFont="1" applyFill="1" applyBorder="1" applyAlignment="1">
      <alignment horizontal="left" vertical="top" wrapText="1"/>
    </xf>
    <xf numFmtId="44" fontId="7" fillId="5" borderId="33" xfId="0" applyNumberFormat="1" applyFont="1" applyFill="1" applyBorder="1" applyAlignment="1">
      <alignment horizontal="left" vertical="top" wrapText="1"/>
    </xf>
    <xf numFmtId="44" fontId="7" fillId="5" borderId="8" xfId="0" applyNumberFormat="1" applyFont="1" applyFill="1" applyBorder="1" applyAlignment="1">
      <alignment horizontal="left" vertical="top" wrapText="1"/>
    </xf>
    <xf numFmtId="3" fontId="7" fillId="9" borderId="54" xfId="0" applyNumberFormat="1" applyFont="1" applyFill="1" applyBorder="1" applyAlignment="1" applyProtection="1">
      <alignment horizontal="center"/>
      <protection locked="0"/>
    </xf>
    <xf numFmtId="3" fontId="7" fillId="9" borderId="58" xfId="0" applyNumberFormat="1" applyFont="1" applyFill="1" applyBorder="1" applyAlignment="1" applyProtection="1">
      <alignment horizontal="center"/>
      <protection locked="0"/>
    </xf>
    <xf numFmtId="44" fontId="5" fillId="9" borderId="33" xfId="0" applyNumberFormat="1" applyFont="1" applyFill="1" applyBorder="1" applyAlignment="1" applyProtection="1">
      <alignment horizontal="center"/>
      <protection locked="0"/>
    </xf>
    <xf numFmtId="44" fontId="5" fillId="9" borderId="8" xfId="0" applyNumberFormat="1" applyFont="1" applyFill="1" applyBorder="1" applyAlignment="1" applyProtection="1">
      <alignment horizontal="center"/>
      <protection locked="0"/>
    </xf>
    <xf numFmtId="44" fontId="5" fillId="0" borderId="63" xfId="0" applyNumberFormat="1" applyFont="1" applyBorder="1" applyAlignment="1" applyProtection="1">
      <alignment horizontal="center"/>
      <protection locked="0"/>
    </xf>
    <xf numFmtId="44" fontId="5" fillId="0" borderId="50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44" fontId="5" fillId="0" borderId="52" xfId="0" applyNumberFormat="1" applyFont="1" applyBorder="1" applyAlignment="1" applyProtection="1">
      <alignment horizontal="center"/>
      <protection locked="0"/>
    </xf>
    <xf numFmtId="44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41" xfId="0" applyNumberFormat="1" applyFont="1" applyFill="1" applyBorder="1" applyAlignment="1" applyProtection="1">
      <alignment horizontal="center"/>
      <protection locked="0"/>
    </xf>
    <xf numFmtId="44" fontId="5" fillId="0" borderId="29" xfId="0" applyNumberFormat="1" applyFont="1" applyFill="1" applyBorder="1" applyAlignment="1" applyProtection="1">
      <alignment horizontal="left"/>
      <protection locked="0"/>
    </xf>
    <xf numFmtId="44" fontId="5" fillId="0" borderId="42" xfId="0" applyNumberFormat="1" applyFont="1" applyFill="1" applyBorder="1" applyAlignment="1" applyProtection="1">
      <alignment horizontal="left"/>
      <protection locked="0"/>
    </xf>
    <xf numFmtId="0" fontId="5" fillId="16" borderId="8" xfId="0" applyFont="1" applyFill="1" applyBorder="1" applyAlignment="1">
      <alignment horizontal="center" vertical="center"/>
    </xf>
    <xf numFmtId="44" fontId="7" fillId="14" borderId="9" xfId="0" applyNumberFormat="1" applyFont="1" applyFill="1" applyBorder="1" applyAlignment="1" applyProtection="1">
      <alignment horizontal="center" vertical="center" wrapText="1"/>
      <protection locked="0"/>
    </xf>
    <xf numFmtId="44" fontId="7" fillId="14" borderId="33" xfId="0" applyNumberFormat="1" applyFont="1" applyFill="1" applyBorder="1" applyAlignment="1" applyProtection="1">
      <alignment horizontal="center" vertical="center" wrapText="1"/>
      <protection locked="0"/>
    </xf>
    <xf numFmtId="44" fontId="7" fillId="14" borderId="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47" xfId="0" applyNumberFormat="1" applyFont="1" applyBorder="1" applyAlignment="1" applyProtection="1">
      <alignment horizontal="center" vertical="center"/>
      <protection locked="0"/>
    </xf>
    <xf numFmtId="44" fontId="7" fillId="0" borderId="39" xfId="0" applyNumberFormat="1" applyFont="1" applyBorder="1" applyAlignment="1" applyProtection="1">
      <alignment horizontal="center" vertical="center"/>
      <protection locked="0"/>
    </xf>
    <xf numFmtId="44" fontId="7" fillId="0" borderId="16" xfId="0" applyNumberFormat="1" applyFont="1" applyBorder="1" applyAlignment="1" applyProtection="1">
      <alignment horizontal="center" vertical="center"/>
      <protection locked="0"/>
    </xf>
    <xf numFmtId="44" fontId="5" fillId="0" borderId="48" xfId="0" applyNumberFormat="1" applyFont="1" applyFill="1" applyBorder="1" applyAlignment="1" applyProtection="1">
      <alignment horizontal="center"/>
      <protection locked="0"/>
    </xf>
    <xf numFmtId="44" fontId="5" fillId="0" borderId="49" xfId="0" applyNumberFormat="1" applyFont="1" applyFill="1" applyBorder="1" applyAlignment="1" applyProtection="1">
      <alignment horizontal="center"/>
      <protection locked="0"/>
    </xf>
    <xf numFmtId="44" fontId="7" fillId="8" borderId="31" xfId="0" applyNumberFormat="1" applyFont="1" applyFill="1" applyBorder="1" applyAlignment="1" applyProtection="1">
      <alignment horizontal="center"/>
      <protection locked="0"/>
    </xf>
    <xf numFmtId="44" fontId="7" fillId="8" borderId="32" xfId="0" applyNumberFormat="1" applyFont="1" applyFill="1" applyBorder="1" applyAlignment="1" applyProtection="1">
      <alignment horizontal="center"/>
      <protection locked="0"/>
    </xf>
    <xf numFmtId="44" fontId="5" fillId="0" borderId="3" xfId="0" applyNumberFormat="1" applyFont="1" applyFill="1" applyBorder="1" applyAlignment="1" applyProtection="1">
      <alignment horizontal="center"/>
      <protection locked="0"/>
    </xf>
    <xf numFmtId="44" fontId="5" fillId="0" borderId="4" xfId="0" applyNumberFormat="1" applyFont="1" applyFill="1" applyBorder="1" applyAlignment="1" applyProtection="1">
      <alignment horizontal="center"/>
      <protection locked="0"/>
    </xf>
    <xf numFmtId="44" fontId="5" fillId="0" borderId="1" xfId="0" applyNumberFormat="1" applyFont="1" applyFill="1" applyBorder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 horizontal="center"/>
      <protection locked="0"/>
    </xf>
    <xf numFmtId="44" fontId="5" fillId="0" borderId="2" xfId="0" applyNumberFormat="1" applyFont="1" applyBorder="1" applyAlignment="1" applyProtection="1">
      <alignment horizontal="center"/>
      <protection locked="0"/>
    </xf>
    <xf numFmtId="44" fontId="5" fillId="0" borderId="41" xfId="0" applyNumberFormat="1" applyFont="1" applyBorder="1" applyAlignment="1" applyProtection="1">
      <alignment horizontal="center"/>
      <protection locked="0"/>
    </xf>
    <xf numFmtId="44" fontId="5" fillId="0" borderId="2" xfId="0" applyNumberFormat="1" applyFont="1" applyBorder="1" applyAlignment="1" applyProtection="1">
      <alignment horizontal="left"/>
      <protection locked="0"/>
    </xf>
    <xf numFmtId="44" fontId="5" fillId="0" borderId="41" xfId="0" applyNumberFormat="1" applyFont="1" applyBorder="1" applyAlignment="1" applyProtection="1">
      <alignment horizontal="left"/>
      <protection locked="0"/>
    </xf>
    <xf numFmtId="0" fontId="4" fillId="0" borderId="33" xfId="0" applyFont="1" applyBorder="1"/>
    <xf numFmtId="0" fontId="4" fillId="0" borderId="8" xfId="0" applyFont="1" applyBorder="1"/>
    <xf numFmtId="0" fontId="4" fillId="0" borderId="58" xfId="0" applyFont="1" applyBorder="1"/>
    <xf numFmtId="44" fontId="5" fillId="0" borderId="63" xfId="0" applyNumberFormat="1" applyFont="1" applyFill="1" applyBorder="1" applyAlignment="1" applyProtection="1">
      <alignment horizontal="center"/>
      <protection locked="0"/>
    </xf>
    <xf numFmtId="44" fontId="5" fillId="0" borderId="50" xfId="0" applyNumberFormat="1" applyFont="1" applyFill="1" applyBorder="1" applyAlignment="1" applyProtection="1">
      <alignment horizontal="center"/>
      <protection locked="0"/>
    </xf>
    <xf numFmtId="44" fontId="5" fillId="0" borderId="29" xfId="0" applyNumberFormat="1" applyFont="1" applyFill="1" applyBorder="1" applyAlignment="1" applyProtection="1">
      <alignment horizontal="center"/>
      <protection locked="0"/>
    </xf>
    <xf numFmtId="44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44" fontId="5" fillId="0" borderId="24" xfId="0" applyNumberFormat="1" applyFont="1" applyBorder="1" applyAlignment="1" applyProtection="1">
      <alignment horizontal="center"/>
      <protection locked="0"/>
    </xf>
    <xf numFmtId="44" fontId="5" fillId="0" borderId="40" xfId="0" applyNumberFormat="1" applyFont="1" applyBorder="1" applyAlignment="1" applyProtection="1">
      <alignment horizontal="center"/>
      <protection locked="0"/>
    </xf>
    <xf numFmtId="44" fontId="5" fillId="0" borderId="35" xfId="0" applyNumberFormat="1" applyFont="1" applyBorder="1" applyAlignment="1" applyProtection="1">
      <alignment horizontal="center"/>
      <protection locked="0"/>
    </xf>
    <xf numFmtId="44" fontId="5" fillId="0" borderId="43" xfId="0" applyNumberFormat="1" applyFont="1" applyBorder="1" applyAlignment="1" applyProtection="1">
      <alignment horizontal="center"/>
      <protection locked="0"/>
    </xf>
    <xf numFmtId="44" fontId="8" fillId="0" borderId="35" xfId="0" applyNumberFormat="1" applyFont="1" applyFill="1" applyBorder="1" applyAlignment="1" applyProtection="1">
      <alignment horizontal="center"/>
      <protection locked="0"/>
    </xf>
    <xf numFmtId="44" fontId="8" fillId="0" borderId="52" xfId="0" applyNumberFormat="1" applyFont="1" applyFill="1" applyBorder="1" applyAlignment="1" applyProtection="1">
      <alignment horizontal="center"/>
      <protection locked="0"/>
    </xf>
    <xf numFmtId="44" fontId="8" fillId="0" borderId="43" xfId="0" applyNumberFormat="1" applyFont="1" applyFill="1" applyBorder="1" applyAlignment="1" applyProtection="1">
      <alignment horizontal="center"/>
      <protection locked="0"/>
    </xf>
    <xf numFmtId="44" fontId="5" fillId="0" borderId="29" xfId="0" applyNumberFormat="1" applyFont="1" applyBorder="1" applyAlignment="1" applyProtection="1">
      <alignment horizontal="left"/>
      <protection locked="0"/>
    </xf>
    <xf numFmtId="44" fontId="5" fillId="0" borderId="42" xfId="0" applyNumberFormat="1" applyFont="1" applyBorder="1" applyAlignment="1" applyProtection="1">
      <alignment horizontal="left"/>
      <protection locked="0"/>
    </xf>
    <xf numFmtId="0" fontId="5" fillId="0" borderId="55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44" fontId="5" fillId="0" borderId="43" xfId="5" applyNumberFormat="1" applyFont="1" applyFill="1" applyBorder="1" applyAlignment="1">
      <alignment vertical="center" wrapText="1"/>
    </xf>
    <xf numFmtId="0" fontId="11" fillId="0" borderId="44" xfId="0" applyFont="1" applyBorder="1" applyAlignment="1">
      <alignment horizontal="left" vertical="center" wrapText="1"/>
    </xf>
    <xf numFmtId="44" fontId="5" fillId="0" borderId="61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25" xfId="0" applyNumberFormat="1" applyFont="1" applyFill="1" applyBorder="1" applyAlignment="1" applyProtection="1">
      <alignment horizontal="center"/>
      <protection locked="0"/>
    </xf>
    <xf numFmtId="44" fontId="5" fillId="0" borderId="55" xfId="0" applyNumberFormat="1" applyFont="1" applyFill="1" applyBorder="1" applyAlignment="1" applyProtection="1">
      <alignment horizontal="center"/>
      <protection locked="0"/>
    </xf>
    <xf numFmtId="44" fontId="5" fillId="0" borderId="37" xfId="0" applyNumberFormat="1" applyFont="1" applyFill="1" applyBorder="1" applyAlignment="1" applyProtection="1">
      <alignment horizontal="center"/>
      <protection locked="0"/>
    </xf>
    <xf numFmtId="44" fontId="5" fillId="0" borderId="56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26" xfId="0" applyNumberFormat="1" applyFont="1" applyFill="1" applyBorder="1" applyAlignment="1" applyProtection="1">
      <alignment horizontal="left"/>
      <protection locked="0"/>
    </xf>
    <xf numFmtId="44" fontId="8" fillId="0" borderId="7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1" xfId="0" applyFont="1" applyFill="1" applyBorder="1" applyAlignment="1" applyProtection="1">
      <alignment horizontal="left"/>
      <protection locked="0"/>
    </xf>
    <xf numFmtId="44" fontId="5" fillId="0" borderId="15" xfId="0" applyNumberFormat="1" applyFont="1" applyFill="1" applyBorder="1" applyAlignment="1" applyProtection="1">
      <alignment horizontal="center"/>
      <protection locked="0"/>
    </xf>
    <xf numFmtId="44" fontId="5" fillId="0" borderId="24" xfId="0" applyNumberFormat="1" applyFont="1" applyFill="1" applyBorder="1" applyAlignment="1" applyProtection="1">
      <alignment horizontal="center"/>
      <protection locked="0"/>
    </xf>
    <xf numFmtId="44" fontId="5" fillId="0" borderId="40" xfId="0" applyNumberFormat="1" applyFont="1" applyFill="1" applyBorder="1" applyAlignment="1" applyProtection="1">
      <alignment horizontal="center"/>
      <protection locked="0"/>
    </xf>
    <xf numFmtId="44" fontId="5" fillId="0" borderId="46" xfId="0" applyNumberFormat="1" applyFont="1" applyFill="1" applyBorder="1" applyAlignment="1" applyProtection="1">
      <alignment horizontal="center"/>
      <protection locked="0"/>
    </xf>
    <xf numFmtId="44" fontId="5" fillId="9" borderId="54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44" fontId="7" fillId="8" borderId="54" xfId="0" applyNumberFormat="1" applyFont="1" applyFill="1" applyBorder="1" applyAlignment="1" applyProtection="1">
      <alignment horizontal="center"/>
      <protection locked="0"/>
    </xf>
    <xf numFmtId="44" fontId="7" fillId="8" borderId="33" xfId="0" applyNumberFormat="1" applyFont="1" applyFill="1" applyBorder="1" applyAlignment="1" applyProtection="1">
      <alignment horizontal="center"/>
      <protection locked="0"/>
    </xf>
    <xf numFmtId="44" fontId="7" fillId="8" borderId="8" xfId="0" applyNumberFormat="1" applyFont="1" applyFill="1" applyBorder="1" applyAlignment="1" applyProtection="1">
      <alignment horizontal="center"/>
      <protection locked="0"/>
    </xf>
    <xf numFmtId="44" fontId="5" fillId="17" borderId="11" xfId="6" applyNumberFormat="1" applyFont="1" applyFill="1" applyBorder="1" applyAlignment="1">
      <alignment horizontal="center" vertical="center"/>
    </xf>
    <xf numFmtId="44" fontId="5" fillId="17" borderId="63" xfId="6" applyNumberFormat="1" applyFont="1" applyFill="1" applyBorder="1" applyAlignment="1">
      <alignment horizontal="center" vertical="center"/>
    </xf>
    <xf numFmtId="44" fontId="5" fillId="17" borderId="50" xfId="6" applyNumberFormat="1" applyFont="1" applyFill="1" applyBorder="1" applyAlignment="1">
      <alignment horizontal="center" vertical="center"/>
    </xf>
    <xf numFmtId="44" fontId="5" fillId="0" borderId="51" xfId="0" applyNumberFormat="1" applyFont="1" applyFill="1" applyBorder="1" applyAlignment="1" applyProtection="1">
      <alignment horizontal="center"/>
      <protection locked="0"/>
    </xf>
    <xf numFmtId="44" fontId="5" fillId="6" borderId="55" xfId="0" applyNumberFormat="1" applyFont="1" applyFill="1" applyBorder="1" applyAlignment="1" applyProtection="1">
      <alignment horizontal="center"/>
      <protection locked="0"/>
    </xf>
    <xf numFmtId="44" fontId="5" fillId="6" borderId="37" xfId="0" applyNumberFormat="1" applyFont="1" applyFill="1" applyBorder="1" applyAlignment="1" applyProtection="1">
      <alignment horizontal="center"/>
      <protection locked="0"/>
    </xf>
    <xf numFmtId="44" fontId="5" fillId="6" borderId="56" xfId="0" applyNumberFormat="1" applyFont="1" applyFill="1" applyBorder="1" applyAlignment="1" applyProtection="1">
      <alignment horizontal="center"/>
      <protection locked="0"/>
    </xf>
    <xf numFmtId="44" fontId="5" fillId="6" borderId="2" xfId="0" applyNumberFormat="1" applyFont="1" applyFill="1" applyBorder="1" applyAlignment="1" applyProtection="1">
      <alignment horizontal="center"/>
      <protection locked="0"/>
    </xf>
    <xf numFmtId="44" fontId="5" fillId="6" borderId="41" xfId="0" applyNumberFormat="1" applyFont="1" applyFill="1" applyBorder="1" applyAlignment="1" applyProtection="1">
      <alignment horizontal="center"/>
      <protection locked="0"/>
    </xf>
    <xf numFmtId="44" fontId="5" fillId="20" borderId="2" xfId="0" applyNumberFormat="1" applyFont="1" applyFill="1" applyBorder="1" applyAlignment="1" applyProtection="1">
      <alignment horizontal="center"/>
      <protection locked="0"/>
    </xf>
    <xf numFmtId="44" fontId="5" fillId="20" borderId="41" xfId="0" applyNumberFormat="1" applyFont="1" applyFill="1" applyBorder="1" applyAlignment="1" applyProtection="1">
      <alignment horizontal="center"/>
      <protection locked="0"/>
    </xf>
    <xf numFmtId="44" fontId="5" fillId="0" borderId="72" xfId="0" applyNumberFormat="1" applyFont="1" applyFill="1" applyBorder="1" applyAlignment="1" applyProtection="1">
      <alignment horizontal="center"/>
      <protection locked="0"/>
    </xf>
    <xf numFmtId="44" fontId="5" fillId="0" borderId="71" xfId="0" applyNumberFormat="1" applyFont="1" applyFill="1" applyBorder="1" applyAlignment="1" applyProtection="1">
      <alignment horizontal="center"/>
      <protection locked="0"/>
    </xf>
    <xf numFmtId="44" fontId="5" fillId="0" borderId="75" xfId="0" applyNumberFormat="1" applyFont="1" applyFill="1" applyBorder="1" applyAlignment="1" applyProtection="1">
      <alignment horizontal="center"/>
      <protection locked="0"/>
    </xf>
    <xf numFmtId="44" fontId="5" fillId="6" borderId="72" xfId="0" applyNumberFormat="1" applyFont="1" applyFill="1" applyBorder="1" applyAlignment="1" applyProtection="1">
      <alignment horizontal="center"/>
      <protection locked="0"/>
    </xf>
    <xf numFmtId="44" fontId="5" fillId="6" borderId="71" xfId="0" applyNumberFormat="1" applyFont="1" applyFill="1" applyBorder="1" applyAlignment="1" applyProtection="1">
      <alignment horizontal="center"/>
      <protection locked="0"/>
    </xf>
    <xf numFmtId="44" fontId="5" fillId="6" borderId="75" xfId="0" applyNumberFormat="1" applyFont="1" applyFill="1" applyBorder="1" applyAlignment="1" applyProtection="1">
      <alignment horizontal="center"/>
      <protection locked="0"/>
    </xf>
    <xf numFmtId="44" fontId="5" fillId="6" borderId="1" xfId="0" applyNumberFormat="1" applyFont="1" applyFill="1" applyBorder="1" applyAlignment="1" applyProtection="1">
      <alignment horizontal="center"/>
      <protection locked="0"/>
    </xf>
    <xf numFmtId="44" fontId="5" fillId="21" borderId="1" xfId="0" applyNumberFormat="1" applyFont="1" applyFill="1" applyBorder="1" applyAlignment="1" applyProtection="1">
      <alignment horizontal="center"/>
      <protection locked="0"/>
    </xf>
    <xf numFmtId="44" fontId="5" fillId="21" borderId="2" xfId="0" applyNumberFormat="1" applyFont="1" applyFill="1" applyBorder="1" applyAlignment="1" applyProtection="1">
      <alignment horizontal="center"/>
      <protection locked="0"/>
    </xf>
    <xf numFmtId="44" fontId="5" fillId="21" borderId="41" xfId="0" applyNumberFormat="1" applyFont="1" applyFill="1" applyBorder="1" applyAlignment="1" applyProtection="1">
      <alignment horizontal="center"/>
      <protection locked="0"/>
    </xf>
    <xf numFmtId="44" fontId="8" fillId="0" borderId="38" xfId="0" applyNumberFormat="1" applyFont="1" applyFill="1" applyBorder="1" applyAlignment="1" applyProtection="1">
      <alignment horizontal="center"/>
      <protection locked="0"/>
    </xf>
    <xf numFmtId="44" fontId="5" fillId="0" borderId="78" xfId="0" applyNumberFormat="1" applyFont="1" applyBorder="1" applyAlignment="1" applyProtection="1">
      <alignment horizontal="center"/>
      <protection locked="0"/>
    </xf>
    <xf numFmtId="44" fontId="5" fillId="21" borderId="78" xfId="0" applyNumberFormat="1" applyFont="1" applyFill="1" applyBorder="1" applyAlignment="1" applyProtection="1">
      <alignment horizontal="center"/>
      <protection locked="0"/>
    </xf>
    <xf numFmtId="44" fontId="5" fillId="0" borderId="15" xfId="0" applyNumberFormat="1" applyFont="1" applyBorder="1" applyAlignment="1" applyProtection="1">
      <alignment horizontal="center"/>
      <protection locked="0"/>
    </xf>
    <xf numFmtId="44" fontId="5" fillId="0" borderId="79" xfId="0" applyNumberFormat="1" applyFont="1" applyBorder="1" applyAlignment="1" applyProtection="1">
      <alignment horizontal="center"/>
      <protection locked="0"/>
    </xf>
    <xf numFmtId="44" fontId="5" fillId="0" borderId="51" xfId="0" applyNumberFormat="1" applyFont="1" applyBorder="1" applyAlignment="1" applyProtection="1">
      <alignment horizontal="center"/>
      <protection locked="0"/>
    </xf>
    <xf numFmtId="44" fontId="5" fillId="0" borderId="48" xfId="0" applyNumberFormat="1" applyFont="1" applyBorder="1" applyAlignment="1" applyProtection="1">
      <alignment horizontal="center"/>
      <protection locked="0"/>
    </xf>
    <xf numFmtId="44" fontId="5" fillId="0" borderId="82" xfId="0" applyNumberFormat="1" applyFont="1" applyBorder="1" applyAlignment="1" applyProtection="1">
      <alignment horizontal="center"/>
      <protection locked="0"/>
    </xf>
    <xf numFmtId="44" fontId="5" fillId="0" borderId="56" xfId="0" applyNumberFormat="1" applyFont="1" applyBorder="1" applyAlignment="1" applyProtection="1">
      <alignment horizontal="center"/>
      <protection locked="0"/>
    </xf>
    <xf numFmtId="44" fontId="5" fillId="0" borderId="83" xfId="0" applyNumberFormat="1" applyFont="1" applyBorder="1" applyAlignment="1" applyProtection="1">
      <alignment horizontal="center"/>
      <protection locked="0"/>
    </xf>
    <xf numFmtId="44" fontId="5" fillId="0" borderId="6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78" xfId="0" applyFont="1" applyBorder="1" applyAlignment="1" applyProtection="1">
      <alignment horizontal="center"/>
      <protection locked="0"/>
    </xf>
    <xf numFmtId="44" fontId="5" fillId="0" borderId="65" xfId="0" applyNumberFormat="1" applyFont="1" applyBorder="1" applyAlignment="1" applyProtection="1">
      <alignment horizontal="center"/>
      <protection locked="0"/>
    </xf>
    <xf numFmtId="44" fontId="5" fillId="0" borderId="29" xfId="0" applyNumberFormat="1" applyFont="1" applyBorder="1" applyAlignment="1" applyProtection="1">
      <alignment horizontal="center"/>
      <protection locked="0"/>
    </xf>
    <xf numFmtId="44" fontId="5" fillId="0" borderId="80" xfId="0" applyNumberFormat="1" applyFont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46" xfId="0" applyFont="1" applyFill="1" applyBorder="1" applyAlignment="1" applyProtection="1">
      <alignment horizontal="left"/>
      <protection locked="0"/>
    </xf>
    <xf numFmtId="0" fontId="15" fillId="6" borderId="0" xfId="0" applyFont="1" applyFill="1" applyBorder="1" applyAlignment="1">
      <alignment horizontal="left" vertical="center" wrapText="1"/>
    </xf>
    <xf numFmtId="0" fontId="15" fillId="6" borderId="64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19" fillId="6" borderId="64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4" fillId="6" borderId="64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15" fillId="18" borderId="64" xfId="0" applyFont="1" applyFill="1" applyBorder="1" applyAlignment="1">
      <alignment horizontal="left" vertical="center" wrapText="1"/>
    </xf>
    <xf numFmtId="0" fontId="15" fillId="18" borderId="0" xfId="0" applyFont="1" applyFill="1" applyAlignment="1">
      <alignment horizontal="left" vertical="center" wrapText="1"/>
    </xf>
    <xf numFmtId="0" fontId="19" fillId="18" borderId="64" xfId="0" applyFont="1" applyFill="1" applyBorder="1" applyAlignment="1">
      <alignment horizontal="left" vertical="center" wrapText="1"/>
    </xf>
    <xf numFmtId="0" fontId="19" fillId="18" borderId="0" xfId="0" applyFont="1" applyFill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18" borderId="0" xfId="0" applyFont="1" applyFill="1" applyAlignment="1">
      <alignment vertical="center"/>
    </xf>
    <xf numFmtId="164" fontId="14" fillId="18" borderId="64" xfId="0" applyNumberFormat="1" applyFont="1" applyFill="1" applyBorder="1" applyAlignment="1">
      <alignment horizontal="left" vertical="center" wrapText="1"/>
    </xf>
    <xf numFmtId="164" fontId="14" fillId="18" borderId="0" xfId="0" applyNumberFormat="1" applyFont="1" applyFill="1" applyAlignment="1">
      <alignment horizontal="left" vertical="center" wrapText="1"/>
    </xf>
    <xf numFmtId="0" fontId="14" fillId="18" borderId="64" xfId="0" applyFont="1" applyFill="1" applyBorder="1" applyAlignment="1">
      <alignment horizontal="left" vertical="center" wrapText="1"/>
    </xf>
    <xf numFmtId="0" fontId="14" fillId="18" borderId="0" xfId="0" applyFont="1" applyFill="1" applyAlignment="1">
      <alignment horizontal="left" vertical="center" wrapText="1"/>
    </xf>
    <xf numFmtId="0" fontId="14" fillId="18" borderId="64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</cellXfs>
  <cellStyles count="11">
    <cellStyle name="Accent4" xfId="2" builtinId="41"/>
    <cellStyle name="Accent5" xfId="3" builtinId="45"/>
    <cellStyle name="Accent6" xfId="4" builtinId="49"/>
    <cellStyle name="Milliers" xfId="9" builtinId="3"/>
    <cellStyle name="Milliers 2" xfId="7" xr:uid="{00000000-0005-0000-0000-000005000000}"/>
    <cellStyle name="Monétaire" xfId="1" builtinId="4"/>
    <cellStyle name="Monétaire 2" xfId="8" xr:uid="{00000000-0005-0000-0000-000006000000}"/>
    <cellStyle name="Monétaire 3" xfId="6" xr:uid="{00000000-0005-0000-0000-000007000000}"/>
    <cellStyle name="Normal" xfId="0" builtinId="0"/>
    <cellStyle name="Normal 2" xfId="5" xr:uid="{00000000-0005-0000-0000-000009000000}"/>
    <cellStyle name="Normal 3 2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857250</xdr:colOff>
      <xdr:row>0</xdr:row>
      <xdr:rowOff>508635</xdr:rowOff>
    </xdr:to>
    <xdr:pic>
      <xdr:nvPicPr>
        <xdr:cNvPr id="3" name="Image 2" descr="PADEM_Logo_BI">
          <a:extLst>
            <a:ext uri="{FF2B5EF4-FFF2-40B4-BE49-F238E27FC236}">
              <a16:creationId xmlns:a16="http://schemas.microsoft.com/office/drawing/2014/main" id="{EBBF498C-7118-4C73-B822-4B155FFBFA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5240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273050</xdr:colOff>
      <xdr:row>3</xdr:row>
      <xdr:rowOff>108585</xdr:rowOff>
    </xdr:to>
    <xdr:pic>
      <xdr:nvPicPr>
        <xdr:cNvPr id="3" name="Image 2" descr="PADEM_Logo_BI">
          <a:extLst>
            <a:ext uri="{FF2B5EF4-FFF2-40B4-BE49-F238E27FC236}">
              <a16:creationId xmlns:a16="http://schemas.microsoft.com/office/drawing/2014/main" id="{493DC957-85BA-4274-9CAB-DA166D80D8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5240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552450</xdr:colOff>
      <xdr:row>3</xdr:row>
      <xdr:rowOff>108585</xdr:rowOff>
    </xdr:to>
    <xdr:pic>
      <xdr:nvPicPr>
        <xdr:cNvPr id="3" name="Image 2" descr="PADEM_Logo_BI">
          <a:extLst>
            <a:ext uri="{FF2B5EF4-FFF2-40B4-BE49-F238E27FC236}">
              <a16:creationId xmlns:a16="http://schemas.microsoft.com/office/drawing/2014/main" id="{C8159942-8F8D-457F-A860-52B4F4959C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5240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1\Downloads\2-AC-SEN-002-TALIBES-BFU-1219-dm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re logique"/>
      <sheetName val="Chronogramme"/>
      <sheetName val="Budget"/>
      <sheetName val=" Follow-up global"/>
      <sheetName val=" Reporting  trim 17"/>
      <sheetName val="Reporting trim 18"/>
      <sheetName val="Reporting  trim 19"/>
      <sheetName val="R1"/>
      <sheetName val="R2"/>
      <sheetName val="R3"/>
      <sheetName val="R4"/>
      <sheetName val="R5"/>
      <sheetName val="Fonctionnement bureau "/>
      <sheetName val="Ressource humaine"/>
      <sheetName val="Journal caisse"/>
      <sheetName val="Journal de banq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8">
          <cell r="F18" t="str">
            <v>R 5.1</v>
          </cell>
          <cell r="G18" t="str">
            <v>R 5.2</v>
          </cell>
          <cell r="H18" t="str">
            <v>R 5.3</v>
          </cell>
          <cell r="I18" t="str">
            <v>R 5.4</v>
          </cell>
        </row>
      </sheetData>
      <sheetData sheetId="12">
        <row r="21">
          <cell r="F21" t="str">
            <v>F.B.1</v>
          </cell>
          <cell r="G21" t="str">
            <v>F.B.2</v>
          </cell>
          <cell r="H21" t="str">
            <v>F.B.3</v>
          </cell>
          <cell r="I21" t="str">
            <v>F.B.4</v>
          </cell>
          <cell r="J21" t="str">
            <v>F.B.5</v>
          </cell>
          <cell r="K21" t="str">
            <v>F.B.6</v>
          </cell>
          <cell r="L21" t="str">
            <v>A.B.1</v>
          </cell>
          <cell r="M21" t="str">
            <v>A.B.2</v>
          </cell>
          <cell r="N21" t="str">
            <v>A.B.3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1"/>
  <sheetViews>
    <sheetView tabSelected="1" topLeftCell="A2" zoomScaleNormal="100" workbookViewId="0">
      <pane xSplit="3" ySplit="10" topLeftCell="D12" activePane="bottomRight" state="frozen"/>
      <selection activeCell="A2" sqref="A2"/>
      <selection pane="topRight" activeCell="D2" sqref="D2"/>
      <selection pane="bottomLeft" activeCell="A12" sqref="A12"/>
      <selection pane="bottomRight" activeCell="A5" sqref="A5:R5"/>
    </sheetView>
  </sheetViews>
  <sheetFormatPr baseColWidth="10" defaultColWidth="11.42578125" defaultRowHeight="15" x14ac:dyDescent="0.25"/>
  <cols>
    <col min="1" max="1" width="11.42578125" style="160"/>
    <col min="2" max="2" width="40.7109375" style="160" customWidth="1"/>
    <col min="3" max="3" width="16" style="160" customWidth="1"/>
    <col min="4" max="4" width="13.42578125" style="2" customWidth="1"/>
    <col min="5" max="5" width="17.42578125" style="2" customWidth="1"/>
    <col min="6" max="6" width="12.7109375" style="2" customWidth="1"/>
    <col min="7" max="7" width="13.28515625" style="2" bestFit="1" customWidth="1"/>
    <col min="8" max="8" width="16.42578125" style="2" bestFit="1" customWidth="1"/>
    <col min="9" max="9" width="15.42578125" style="2" customWidth="1"/>
    <col min="10" max="10" width="21.140625" style="2" customWidth="1"/>
    <col min="11" max="11" width="14" style="2" customWidth="1"/>
    <col min="12" max="12" width="12.7109375" style="2" customWidth="1"/>
    <col min="13" max="13" width="13.28515625" style="2" bestFit="1" customWidth="1"/>
    <col min="14" max="14" width="13.7109375" style="2" customWidth="1"/>
    <col min="15" max="15" width="13.42578125" style="2" customWidth="1"/>
    <col min="16" max="16" width="14.7109375" style="2" customWidth="1"/>
    <col min="17" max="17" width="15" style="2" customWidth="1"/>
    <col min="18" max="18" width="13.42578125" style="2" customWidth="1"/>
    <col min="19" max="20" width="16.42578125" style="350" customWidth="1"/>
    <col min="21" max="16384" width="11.42578125" style="2"/>
  </cols>
  <sheetData>
    <row r="1" spans="1:20" s="1" customFormat="1" ht="42" customHeight="1" x14ac:dyDescent="0.25">
      <c r="A1" s="710" t="s">
        <v>67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349"/>
      <c r="T1" s="349"/>
    </row>
    <row r="2" spans="1:20" s="1" customFormat="1" ht="16.5" customHeight="1" x14ac:dyDescent="0.3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349"/>
      <c r="T2" s="349"/>
    </row>
    <row r="3" spans="1:20" ht="13.9" x14ac:dyDescent="0.25">
      <c r="A3" s="711" t="s">
        <v>61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</row>
    <row r="4" spans="1:20" ht="13.9" x14ac:dyDescent="0.25">
      <c r="A4" s="711" t="s">
        <v>62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</row>
    <row r="5" spans="1:20" ht="13.9" x14ac:dyDescent="0.25">
      <c r="A5" s="711" t="s">
        <v>1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</row>
    <row r="6" spans="1:20" x14ac:dyDescent="0.25">
      <c r="A6" s="717" t="s">
        <v>0</v>
      </c>
      <c r="B6" s="717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23"/>
      <c r="R6" s="123"/>
    </row>
    <row r="7" spans="1:20" ht="15.75" thickBot="1" x14ac:dyDescent="0.3">
      <c r="A7" s="717" t="s">
        <v>41</v>
      </c>
      <c r="B7" s="717"/>
      <c r="C7" s="124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23"/>
      <c r="R7" s="123"/>
    </row>
    <row r="8" spans="1:20" ht="15.75" thickBot="1" x14ac:dyDescent="0.3">
      <c r="A8" s="125"/>
      <c r="B8" s="125"/>
      <c r="C8" s="121"/>
      <c r="D8" s="718" t="s">
        <v>42</v>
      </c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20"/>
    </row>
    <row r="9" spans="1:20" ht="15.75" thickBot="1" x14ac:dyDescent="0.3">
      <c r="A9" s="705" t="s">
        <v>2</v>
      </c>
      <c r="B9" s="689" t="s">
        <v>3</v>
      </c>
      <c r="C9" s="691" t="s">
        <v>4</v>
      </c>
      <c r="D9" s="693" t="s">
        <v>43</v>
      </c>
      <c r="E9" s="694"/>
      <c r="F9" s="695"/>
      <c r="G9" s="693" t="s">
        <v>44</v>
      </c>
      <c r="H9" s="694"/>
      <c r="I9" s="695"/>
      <c r="J9" s="721" t="s">
        <v>45</v>
      </c>
      <c r="K9" s="722"/>
      <c r="L9" s="723"/>
      <c r="M9" s="721" t="s">
        <v>46</v>
      </c>
      <c r="N9" s="722"/>
      <c r="O9" s="723"/>
      <c r="P9" s="712" t="s">
        <v>5</v>
      </c>
      <c r="Q9" s="713"/>
      <c r="R9" s="714"/>
    </row>
    <row r="10" spans="1:20" ht="15.75" thickBot="1" x14ac:dyDescent="0.3">
      <c r="A10" s="706"/>
      <c r="B10" s="690"/>
      <c r="C10" s="692"/>
      <c r="D10" s="4" t="s">
        <v>6</v>
      </c>
      <c r="E10" s="5" t="s">
        <v>7</v>
      </c>
      <c r="F10" s="6" t="s">
        <v>8</v>
      </c>
      <c r="G10" s="4" t="s">
        <v>6</v>
      </c>
      <c r="H10" s="5" t="s">
        <v>7</v>
      </c>
      <c r="I10" s="6" t="s">
        <v>8</v>
      </c>
      <c r="J10" s="4" t="s">
        <v>6</v>
      </c>
      <c r="K10" s="5" t="s">
        <v>7</v>
      </c>
      <c r="L10" s="7" t="s">
        <v>8</v>
      </c>
      <c r="M10" s="4" t="s">
        <v>6</v>
      </c>
      <c r="N10" s="5" t="s">
        <v>7</v>
      </c>
      <c r="O10" s="7" t="s">
        <v>8</v>
      </c>
      <c r="P10" s="8" t="s">
        <v>6</v>
      </c>
      <c r="Q10" s="9" t="s">
        <v>7</v>
      </c>
      <c r="R10" s="346" t="s">
        <v>8</v>
      </c>
      <c r="S10" s="351" t="s">
        <v>265</v>
      </c>
      <c r="T10" s="352" t="s">
        <v>266</v>
      </c>
    </row>
    <row r="11" spans="1:20" ht="15.75" thickBot="1" x14ac:dyDescent="0.3">
      <c r="A11" s="699" t="s">
        <v>68</v>
      </c>
      <c r="B11" s="700"/>
      <c r="C11" s="701"/>
      <c r="D11" s="715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654"/>
      <c r="T11" s="655"/>
    </row>
    <row r="12" spans="1:20" ht="31.5" x14ac:dyDescent="0.25">
      <c r="A12" s="185" t="s">
        <v>24</v>
      </c>
      <c r="B12" s="161" t="s">
        <v>69</v>
      </c>
      <c r="C12" s="12"/>
      <c r="D12" s="13">
        <v>304.89999999999998</v>
      </c>
      <c r="E12" s="14">
        <f>'Budget R1'!F6</f>
        <v>304.4406874231085</v>
      </c>
      <c r="F12" s="15">
        <f>D12-E12</f>
        <v>0.45931257689147742</v>
      </c>
      <c r="G12" s="13"/>
      <c r="H12" s="29">
        <f>'Budget R1'!I6</f>
        <v>0</v>
      </c>
      <c r="I12" s="15">
        <f>G12-H12</f>
        <v>0</v>
      </c>
      <c r="J12" s="13"/>
      <c r="K12" s="29">
        <f>'Budget R1'!L6</f>
        <v>0</v>
      </c>
      <c r="L12" s="15">
        <f>J12-K12</f>
        <v>0</v>
      </c>
      <c r="M12" s="13"/>
      <c r="N12" s="29">
        <f>'Budget R1'!O6</f>
        <v>0</v>
      </c>
      <c r="O12" s="16">
        <f>M12-N12</f>
        <v>0</v>
      </c>
      <c r="P12" s="17">
        <f>M12+J12+G12+D12</f>
        <v>304.89999999999998</v>
      </c>
      <c r="Q12" s="18">
        <f>N12+K12+H12+E12</f>
        <v>304.4406874231085</v>
      </c>
      <c r="R12" s="344">
        <f>P12-Q12</f>
        <v>0.45931257689147742</v>
      </c>
      <c r="S12" s="353">
        <v>304</v>
      </c>
      <c r="T12" s="354">
        <f>S12-Q12</f>
        <v>-0.44068742310849984</v>
      </c>
    </row>
    <row r="13" spans="1:20" ht="31.5" x14ac:dyDescent="0.25">
      <c r="A13" s="186" t="s">
        <v>130</v>
      </c>
      <c r="B13" s="162" t="s">
        <v>70</v>
      </c>
      <c r="C13" s="21"/>
      <c r="D13" s="28">
        <f>3171.7/4</f>
        <v>792.92499999999995</v>
      </c>
      <c r="E13" s="23"/>
      <c r="F13" s="24">
        <f t="shared" ref="F13:F15" si="0">D13-E13</f>
        <v>792.92499999999995</v>
      </c>
      <c r="G13" s="28">
        <f>3171.7/4</f>
        <v>792.92499999999995</v>
      </c>
      <c r="H13" s="29">
        <f>'Budget R1'!I7</f>
        <v>0</v>
      </c>
      <c r="I13" s="24">
        <f t="shared" ref="I13:I15" si="1">G13-H13</f>
        <v>792.92499999999995</v>
      </c>
      <c r="J13" s="28">
        <f>3171.7/4</f>
        <v>792.92499999999995</v>
      </c>
      <c r="K13" s="29">
        <f>'Budget R1'!L7</f>
        <v>1067.1431206618727</v>
      </c>
      <c r="L13" s="24">
        <f t="shared" ref="L13:L15" si="2">J13-K13</f>
        <v>-274.21812066187272</v>
      </c>
      <c r="M13" s="28">
        <f>3171.7/4</f>
        <v>792.92499999999995</v>
      </c>
      <c r="N13" s="29">
        <f>'Budget R1'!O7</f>
        <v>0</v>
      </c>
      <c r="O13" s="25">
        <f t="shared" ref="O13:O15" si="3">M13-N13</f>
        <v>792.92499999999995</v>
      </c>
      <c r="P13" s="22">
        <f t="shared" ref="P13:P53" si="4">M13+J13+G13+D13</f>
        <v>3171.7</v>
      </c>
      <c r="Q13" s="23">
        <f t="shared" ref="Q13:Q53" si="5">N13+K13+H13+E13</f>
        <v>1067.1431206618727</v>
      </c>
      <c r="R13" s="345">
        <f t="shared" ref="R13:R53" si="6">P13-Q13</f>
        <v>2104.5568793381271</v>
      </c>
      <c r="S13" s="353"/>
      <c r="T13" s="354">
        <f t="shared" ref="T13:T26" si="7">S13-Q13</f>
        <v>-1067.1431206618727</v>
      </c>
    </row>
    <row r="14" spans="1:20" ht="15.6" x14ac:dyDescent="0.25">
      <c r="A14" s="186" t="s">
        <v>131</v>
      </c>
      <c r="B14" s="162" t="s">
        <v>132</v>
      </c>
      <c r="C14" s="21"/>
      <c r="D14" s="28"/>
      <c r="E14" s="23"/>
      <c r="F14" s="24"/>
      <c r="G14" s="28">
        <v>3688.51</v>
      </c>
      <c r="H14" s="29">
        <f>'Budget R1'!I8</f>
        <v>17610.910471265648</v>
      </c>
      <c r="I14" s="24">
        <f>G14-H14</f>
        <v>-13922.400471265648</v>
      </c>
      <c r="J14" s="28"/>
      <c r="K14" s="29">
        <f>'Budget R1'!L8</f>
        <v>0</v>
      </c>
      <c r="L14" s="24"/>
      <c r="M14" s="28"/>
      <c r="N14" s="29">
        <f>'Budget R1'!O8</f>
        <v>0</v>
      </c>
      <c r="O14" s="25"/>
      <c r="P14" s="22">
        <f t="shared" ref="P14:P16" si="8">M14+J14+G14+D14</f>
        <v>3688.51</v>
      </c>
      <c r="Q14" s="23">
        <f t="shared" ref="Q14:Q16" si="9">N14+K14+H14+E14</f>
        <v>17610.910471265648</v>
      </c>
      <c r="R14" s="345">
        <f t="shared" ref="R14:R16" si="10">P14-Q14</f>
        <v>-13922.400471265648</v>
      </c>
      <c r="S14" s="353">
        <v>18678</v>
      </c>
      <c r="T14" s="354">
        <f t="shared" si="7"/>
        <v>1067.0895287343519</v>
      </c>
    </row>
    <row r="15" spans="1:20" ht="63" x14ac:dyDescent="0.25">
      <c r="A15" s="186" t="s">
        <v>133</v>
      </c>
      <c r="B15" s="162" t="s">
        <v>71</v>
      </c>
      <c r="C15" s="27"/>
      <c r="D15" s="28">
        <f>3811.23/4</f>
        <v>952.8075</v>
      </c>
      <c r="E15" s="29"/>
      <c r="F15" s="24">
        <f t="shared" si="0"/>
        <v>952.8075</v>
      </c>
      <c r="G15" s="28">
        <f>3811.23/4</f>
        <v>952.8075</v>
      </c>
      <c r="H15" s="29">
        <f>'Budget R1'!I9</f>
        <v>0</v>
      </c>
      <c r="I15" s="24">
        <f t="shared" si="1"/>
        <v>952.8075</v>
      </c>
      <c r="J15" s="28">
        <f>3811.23/4</f>
        <v>952.8075</v>
      </c>
      <c r="K15" s="29">
        <f>'Budget R1'!L9</f>
        <v>593.22486077593499</v>
      </c>
      <c r="L15" s="24">
        <f t="shared" si="2"/>
        <v>359.58263922406502</v>
      </c>
      <c r="M15" s="28">
        <f>3811.23/4</f>
        <v>952.8075</v>
      </c>
      <c r="N15" s="29">
        <f>'Budget R1'!O9</f>
        <v>2439.184275798566</v>
      </c>
      <c r="O15" s="25">
        <f t="shared" si="3"/>
        <v>-1486.3767757985661</v>
      </c>
      <c r="P15" s="22">
        <f t="shared" si="8"/>
        <v>3811.23</v>
      </c>
      <c r="Q15" s="23">
        <f t="shared" si="9"/>
        <v>3032.4091365745007</v>
      </c>
      <c r="R15" s="345">
        <f t="shared" si="10"/>
        <v>778.82086342549928</v>
      </c>
      <c r="S15" s="353">
        <v>593</v>
      </c>
      <c r="T15" s="354">
        <f t="shared" si="7"/>
        <v>-2439.4091365745007</v>
      </c>
    </row>
    <row r="16" spans="1:20" ht="15.6" x14ac:dyDescent="0.25">
      <c r="A16" s="187" t="s">
        <v>134</v>
      </c>
      <c r="B16" s="188" t="s">
        <v>135</v>
      </c>
      <c r="C16" s="27"/>
      <c r="D16" s="28"/>
      <c r="E16" s="29"/>
      <c r="F16" s="24"/>
      <c r="G16" s="28">
        <v>3811.23</v>
      </c>
      <c r="H16" s="29">
        <f>'Budget R1'!I10</f>
        <v>1783.6535016777013</v>
      </c>
      <c r="I16" s="24">
        <f>G16-H16</f>
        <v>2027.5764983222987</v>
      </c>
      <c r="J16" s="28"/>
      <c r="K16" s="29">
        <f>'Budget R1'!L10</f>
        <v>0</v>
      </c>
      <c r="L16" s="24"/>
      <c r="M16" s="28"/>
      <c r="N16" s="29">
        <f>'Budget R1'!O10</f>
        <v>0</v>
      </c>
      <c r="O16" s="25"/>
      <c r="P16" s="22">
        <f t="shared" si="8"/>
        <v>3811.23</v>
      </c>
      <c r="Q16" s="23">
        <f t="shared" si="9"/>
        <v>1783.6535016777013</v>
      </c>
      <c r="R16" s="345">
        <f t="shared" si="10"/>
        <v>2027.5764983222987</v>
      </c>
      <c r="S16" s="353">
        <v>4223</v>
      </c>
      <c r="T16" s="354">
        <f t="shared" si="7"/>
        <v>2439.3464983222984</v>
      </c>
    </row>
    <row r="17" spans="1:20" ht="15" customHeight="1" x14ac:dyDescent="0.25">
      <c r="A17" s="727" t="s">
        <v>25</v>
      </c>
      <c r="B17" s="707" t="s">
        <v>72</v>
      </c>
      <c r="C17" s="27" t="s">
        <v>113</v>
      </c>
      <c r="D17" s="28"/>
      <c r="E17" s="29"/>
      <c r="F17" s="24">
        <f t="shared" ref="F17:F54" si="11">D17-E17</f>
        <v>0</v>
      </c>
      <c r="G17" s="28">
        <v>152.44999999999999</v>
      </c>
      <c r="H17" s="29">
        <f>'Budget R1'!I11</f>
        <v>0</v>
      </c>
      <c r="I17" s="24">
        <f t="shared" ref="I17:I27" si="12">G17-H17</f>
        <v>152.44999999999999</v>
      </c>
      <c r="J17" s="28"/>
      <c r="K17" s="29">
        <f>'Budget R1'!L11</f>
        <v>72.158693328983446</v>
      </c>
      <c r="L17" s="24">
        <f t="shared" ref="L17:L53" si="13">J17-K17</f>
        <v>-72.158693328983446</v>
      </c>
      <c r="M17" s="28"/>
      <c r="N17" s="29">
        <f>'Budget R1'!O11</f>
        <v>0</v>
      </c>
      <c r="O17" s="25">
        <f t="shared" ref="O17:O51" si="14">M17-N17</f>
        <v>0</v>
      </c>
      <c r="P17" s="22">
        <f t="shared" si="4"/>
        <v>152.44999999999999</v>
      </c>
      <c r="Q17" s="23">
        <f t="shared" si="5"/>
        <v>72.158693328983446</v>
      </c>
      <c r="R17" s="345">
        <f t="shared" si="6"/>
        <v>80.291306671016542</v>
      </c>
      <c r="S17" s="353"/>
      <c r="T17" s="354">
        <f t="shared" si="7"/>
        <v>-72.158693328983446</v>
      </c>
    </row>
    <row r="18" spans="1:20" ht="15" customHeight="1" x14ac:dyDescent="0.25">
      <c r="A18" s="728"/>
      <c r="B18" s="708"/>
      <c r="C18" s="27" t="s">
        <v>100</v>
      </c>
      <c r="D18" s="28"/>
      <c r="E18" s="29"/>
      <c r="F18" s="24">
        <f t="shared" si="11"/>
        <v>0</v>
      </c>
      <c r="G18" s="28">
        <v>762.25</v>
      </c>
      <c r="H18" s="29">
        <f>'Budget R1'!I12</f>
        <v>0</v>
      </c>
      <c r="I18" s="24">
        <f t="shared" si="12"/>
        <v>762.25</v>
      </c>
      <c r="J18" s="28"/>
      <c r="K18" s="29">
        <f>'Budget R1'!L12</f>
        <v>868.95939825323921</v>
      </c>
      <c r="L18" s="24">
        <f t="shared" si="13"/>
        <v>-868.95939825323921</v>
      </c>
      <c r="M18" s="28"/>
      <c r="N18" s="29">
        <f>'Budget R1'!O12</f>
        <v>0</v>
      </c>
      <c r="O18" s="25">
        <f t="shared" si="14"/>
        <v>0</v>
      </c>
      <c r="P18" s="22">
        <f t="shared" si="4"/>
        <v>762.25</v>
      </c>
      <c r="Q18" s="23">
        <f t="shared" si="5"/>
        <v>868.95939825323921</v>
      </c>
      <c r="R18" s="345">
        <f t="shared" si="6"/>
        <v>-106.70939825323921</v>
      </c>
      <c r="S18" s="353"/>
      <c r="T18" s="354">
        <f t="shared" si="7"/>
        <v>-868.95939825323921</v>
      </c>
    </row>
    <row r="19" spans="1:20" ht="15" customHeight="1" x14ac:dyDescent="0.25">
      <c r="A19" s="728"/>
      <c r="B19" s="708"/>
      <c r="C19" s="27" t="s">
        <v>114</v>
      </c>
      <c r="D19" s="28"/>
      <c r="E19" s="29"/>
      <c r="F19" s="24">
        <f t="shared" si="11"/>
        <v>0</v>
      </c>
      <c r="G19" s="28">
        <v>1067.1400000000001</v>
      </c>
      <c r="H19" s="29">
        <f>'Budget R1'!I13</f>
        <v>0</v>
      </c>
      <c r="I19" s="24">
        <f t="shared" si="12"/>
        <v>1067.1400000000001</v>
      </c>
      <c r="J19" s="28"/>
      <c r="K19" s="29">
        <f>'Budget R1'!L13</f>
        <v>1486.3779180647509</v>
      </c>
      <c r="L19" s="24">
        <f t="shared" si="13"/>
        <v>-1486.3779180647509</v>
      </c>
      <c r="M19" s="28"/>
      <c r="N19" s="29">
        <f>'Budget R1'!O13</f>
        <v>0</v>
      </c>
      <c r="O19" s="25">
        <f t="shared" si="14"/>
        <v>0</v>
      </c>
      <c r="P19" s="22">
        <f t="shared" si="4"/>
        <v>1067.1400000000001</v>
      </c>
      <c r="Q19" s="23">
        <f t="shared" si="5"/>
        <v>1486.3779180647509</v>
      </c>
      <c r="R19" s="345">
        <f t="shared" si="6"/>
        <v>-419.23791806475083</v>
      </c>
      <c r="S19" s="353"/>
      <c r="T19" s="354">
        <f t="shared" si="7"/>
        <v>-1486.3779180647509</v>
      </c>
    </row>
    <row r="20" spans="1:20" ht="15" customHeight="1" x14ac:dyDescent="0.25">
      <c r="A20" s="729"/>
      <c r="B20" s="709"/>
      <c r="C20" s="27" t="s">
        <v>115</v>
      </c>
      <c r="D20" s="28"/>
      <c r="E20" s="29"/>
      <c r="F20" s="24">
        <f t="shared" si="11"/>
        <v>0</v>
      </c>
      <c r="G20" s="28">
        <v>228.67</v>
      </c>
      <c r="H20" s="29">
        <f>'Budget R1'!I14</f>
        <v>0</v>
      </c>
      <c r="I20" s="24">
        <f t="shared" si="12"/>
        <v>228.67</v>
      </c>
      <c r="J20" s="28"/>
      <c r="K20" s="29">
        <f>'Budget R1'!L14</f>
        <v>45.734705171223112</v>
      </c>
      <c r="L20" s="24">
        <f t="shared" si="13"/>
        <v>-45.734705171223112</v>
      </c>
      <c r="M20" s="28"/>
      <c r="N20" s="29">
        <f>'Budget R1'!O14</f>
        <v>0</v>
      </c>
      <c r="O20" s="25">
        <f t="shared" si="14"/>
        <v>0</v>
      </c>
      <c r="P20" s="22">
        <f t="shared" si="4"/>
        <v>228.67</v>
      </c>
      <c r="Q20" s="23">
        <f t="shared" si="5"/>
        <v>45.734705171223112</v>
      </c>
      <c r="R20" s="345">
        <f t="shared" si="6"/>
        <v>182.93529482877688</v>
      </c>
      <c r="S20" s="353">
        <v>2473</v>
      </c>
      <c r="T20" s="354">
        <f t="shared" si="7"/>
        <v>2427.2652948287769</v>
      </c>
    </row>
    <row r="21" spans="1:20" ht="63" x14ac:dyDescent="0.25">
      <c r="A21" s="186" t="s">
        <v>76</v>
      </c>
      <c r="B21" s="163" t="s">
        <v>73</v>
      </c>
      <c r="C21" s="27"/>
      <c r="D21" s="28"/>
      <c r="E21" s="29"/>
      <c r="F21" s="24">
        <f t="shared" si="11"/>
        <v>0</v>
      </c>
      <c r="G21" s="28">
        <v>381.13</v>
      </c>
      <c r="H21" s="29">
        <f>'Budget R1'!I15</f>
        <v>0</v>
      </c>
      <c r="I21" s="24">
        <f t="shared" si="12"/>
        <v>381.13</v>
      </c>
      <c r="J21" s="28">
        <v>381.12</v>
      </c>
      <c r="K21" s="29">
        <f>'Budget R1'!L15</f>
        <v>0</v>
      </c>
      <c r="L21" s="24">
        <f t="shared" si="13"/>
        <v>381.12</v>
      </c>
      <c r="M21" s="28">
        <v>381.12</v>
      </c>
      <c r="N21" s="29">
        <f>'Budget R1'!O15</f>
        <v>495.45930602158376</v>
      </c>
      <c r="O21" s="25">
        <f t="shared" si="14"/>
        <v>-114.33930602158375</v>
      </c>
      <c r="P21" s="22">
        <f t="shared" si="4"/>
        <v>1143.3699999999999</v>
      </c>
      <c r="Q21" s="23">
        <f t="shared" si="5"/>
        <v>495.45930602158376</v>
      </c>
      <c r="R21" s="345">
        <f t="shared" si="6"/>
        <v>647.91069397841613</v>
      </c>
      <c r="S21" s="353">
        <v>495</v>
      </c>
      <c r="T21" s="354">
        <f t="shared" si="7"/>
        <v>-0.45930602158375677</v>
      </c>
    </row>
    <row r="22" spans="1:20" x14ac:dyDescent="0.25">
      <c r="A22" s="727" t="s">
        <v>77</v>
      </c>
      <c r="B22" s="707" t="s">
        <v>74</v>
      </c>
      <c r="C22" s="27" t="s">
        <v>113</v>
      </c>
      <c r="D22" s="28"/>
      <c r="E22" s="29"/>
      <c r="F22" s="24">
        <f t="shared" si="11"/>
        <v>0</v>
      </c>
      <c r="G22" s="28"/>
      <c r="H22" s="29">
        <f>'Budget R1'!I16</f>
        <v>0</v>
      </c>
      <c r="I22" s="24">
        <f t="shared" si="12"/>
        <v>0</v>
      </c>
      <c r="J22" s="28">
        <v>38.11</v>
      </c>
      <c r="K22" s="29">
        <f>'Budget R1'!L16</f>
        <v>0</v>
      </c>
      <c r="L22" s="24">
        <f t="shared" si="13"/>
        <v>38.11</v>
      </c>
      <c r="M22" s="28"/>
      <c r="N22" s="29">
        <f>'Budget R1'!O16</f>
        <v>0</v>
      </c>
      <c r="O22" s="25">
        <f t="shared" si="14"/>
        <v>0</v>
      </c>
      <c r="P22" s="22">
        <f t="shared" si="4"/>
        <v>38.11</v>
      </c>
      <c r="Q22" s="23">
        <f t="shared" si="5"/>
        <v>0</v>
      </c>
      <c r="R22" s="345">
        <f t="shared" si="6"/>
        <v>38.11</v>
      </c>
      <c r="S22" s="353"/>
      <c r="T22" s="354">
        <f t="shared" si="7"/>
        <v>0</v>
      </c>
    </row>
    <row r="23" spans="1:20" x14ac:dyDescent="0.25">
      <c r="A23" s="728"/>
      <c r="B23" s="708"/>
      <c r="C23" s="27" t="s">
        <v>100</v>
      </c>
      <c r="D23" s="22"/>
      <c r="E23" s="23"/>
      <c r="F23" s="24">
        <f t="shared" si="11"/>
        <v>0</v>
      </c>
      <c r="G23" s="22"/>
      <c r="H23" s="29">
        <f>'Budget R1'!I17</f>
        <v>0</v>
      </c>
      <c r="I23" s="24">
        <f t="shared" si="12"/>
        <v>0</v>
      </c>
      <c r="J23" s="28">
        <v>152.44999999999999</v>
      </c>
      <c r="K23" s="29">
        <f>'Budget R1'!L17</f>
        <v>0</v>
      </c>
      <c r="L23" s="24">
        <f t="shared" si="13"/>
        <v>152.44999999999999</v>
      </c>
      <c r="M23" s="22"/>
      <c r="N23" s="29">
        <f>'Budget R1'!O17</f>
        <v>0</v>
      </c>
      <c r="O23" s="25">
        <f t="shared" si="14"/>
        <v>0</v>
      </c>
      <c r="P23" s="22">
        <f t="shared" si="4"/>
        <v>152.44999999999999</v>
      </c>
      <c r="Q23" s="23">
        <f t="shared" si="5"/>
        <v>0</v>
      </c>
      <c r="R23" s="345">
        <f t="shared" si="6"/>
        <v>152.44999999999999</v>
      </c>
      <c r="S23" s="353"/>
      <c r="T23" s="354">
        <f t="shared" si="7"/>
        <v>0</v>
      </c>
    </row>
    <row r="24" spans="1:20" x14ac:dyDescent="0.25">
      <c r="A24" s="728"/>
      <c r="B24" s="708"/>
      <c r="C24" s="27" t="s">
        <v>114</v>
      </c>
      <c r="D24" s="28"/>
      <c r="E24" s="29"/>
      <c r="F24" s="24">
        <f t="shared" si="11"/>
        <v>0</v>
      </c>
      <c r="G24" s="28"/>
      <c r="H24" s="29">
        <f>'Budget R1'!I18</f>
        <v>0</v>
      </c>
      <c r="I24" s="24">
        <f t="shared" si="12"/>
        <v>0</v>
      </c>
      <c r="J24" s="28">
        <v>106.71</v>
      </c>
      <c r="K24" s="29">
        <f>'Budget R1'!L18</f>
        <v>0</v>
      </c>
      <c r="L24" s="24">
        <f t="shared" si="13"/>
        <v>106.71</v>
      </c>
      <c r="M24" s="28"/>
      <c r="N24" s="29">
        <f>'Budget R1'!O18</f>
        <v>0</v>
      </c>
      <c r="O24" s="25">
        <f t="shared" si="14"/>
        <v>0</v>
      </c>
      <c r="P24" s="22">
        <f t="shared" si="4"/>
        <v>106.71</v>
      </c>
      <c r="Q24" s="23">
        <f t="shared" si="5"/>
        <v>0</v>
      </c>
      <c r="R24" s="345">
        <f t="shared" si="6"/>
        <v>106.71</v>
      </c>
      <c r="S24" s="353"/>
      <c r="T24" s="354">
        <f t="shared" si="7"/>
        <v>0</v>
      </c>
    </row>
    <row r="25" spans="1:20" x14ac:dyDescent="0.25">
      <c r="A25" s="729"/>
      <c r="B25" s="709"/>
      <c r="C25" s="27" t="s">
        <v>116</v>
      </c>
      <c r="D25" s="28"/>
      <c r="E25" s="29"/>
      <c r="F25" s="24">
        <f t="shared" si="11"/>
        <v>0</v>
      </c>
      <c r="G25" s="28"/>
      <c r="H25" s="29">
        <f>'Budget R1'!I19</f>
        <v>0</v>
      </c>
      <c r="I25" s="24">
        <f t="shared" si="12"/>
        <v>0</v>
      </c>
      <c r="J25" s="28">
        <v>304.89999999999998</v>
      </c>
      <c r="K25" s="29">
        <f>'Budget R1'!L19</f>
        <v>0</v>
      </c>
      <c r="L25" s="24">
        <f t="shared" si="13"/>
        <v>304.89999999999998</v>
      </c>
      <c r="M25" s="28"/>
      <c r="N25" s="29">
        <f>'Budget R1'!O19</f>
        <v>0</v>
      </c>
      <c r="O25" s="25">
        <f t="shared" si="14"/>
        <v>0</v>
      </c>
      <c r="P25" s="22">
        <f t="shared" si="4"/>
        <v>304.89999999999998</v>
      </c>
      <c r="Q25" s="23">
        <f t="shared" si="5"/>
        <v>0</v>
      </c>
      <c r="R25" s="345">
        <f t="shared" si="6"/>
        <v>304.89999999999998</v>
      </c>
      <c r="S25" s="353"/>
      <c r="T25" s="354">
        <f t="shared" si="7"/>
        <v>0</v>
      </c>
    </row>
    <row r="26" spans="1:20" ht="48" thickBot="1" x14ac:dyDescent="0.3">
      <c r="A26" s="186" t="s">
        <v>78</v>
      </c>
      <c r="B26" s="163" t="s">
        <v>75</v>
      </c>
      <c r="C26" s="30"/>
      <c r="D26" s="28">
        <v>762.23</v>
      </c>
      <c r="E26" s="29">
        <f>'Budget R1'!F20</f>
        <v>304.89803447482075</v>
      </c>
      <c r="F26" s="24">
        <f t="shared" si="11"/>
        <v>457.33196552517927</v>
      </c>
      <c r="G26" s="28">
        <v>762.25</v>
      </c>
      <c r="H26" s="29">
        <f>'Budget R1'!I20</f>
        <v>0</v>
      </c>
      <c r="I26" s="24">
        <f t="shared" si="12"/>
        <v>762.25</v>
      </c>
      <c r="J26" s="28">
        <v>762.25</v>
      </c>
      <c r="K26" s="29">
        <f>'Budget R1'!L20</f>
        <v>463.44501240172752</v>
      </c>
      <c r="L26" s="24">
        <f t="shared" si="13"/>
        <v>298.80498759827248</v>
      </c>
      <c r="M26" s="28">
        <v>762.25</v>
      </c>
      <c r="N26" s="29">
        <f>'Budget R1'!O20</f>
        <v>414.66132688575624</v>
      </c>
      <c r="O26" s="25">
        <f t="shared" si="14"/>
        <v>347.58867311424376</v>
      </c>
      <c r="P26" s="22">
        <f t="shared" si="4"/>
        <v>3048.98</v>
      </c>
      <c r="Q26" s="23">
        <f t="shared" si="5"/>
        <v>1183.0043737623046</v>
      </c>
      <c r="R26" s="345">
        <f t="shared" si="6"/>
        <v>1865.9756262376955</v>
      </c>
      <c r="S26" s="355">
        <v>1183</v>
      </c>
      <c r="T26" s="356">
        <f t="shared" si="7"/>
        <v>-4.373762304567208E-3</v>
      </c>
    </row>
    <row r="27" spans="1:20" ht="15.75" thickBot="1" x14ac:dyDescent="0.3">
      <c r="A27" s="674" t="s">
        <v>9</v>
      </c>
      <c r="B27" s="675"/>
      <c r="C27" s="676"/>
      <c r="D27" s="36">
        <f>SUM(D12:D26)</f>
        <v>2812.8624999999997</v>
      </c>
      <c r="E27" s="36">
        <f>SUM(E12:E26)</f>
        <v>609.33872189792919</v>
      </c>
      <c r="F27" s="37">
        <f t="shared" si="11"/>
        <v>2203.5237781020705</v>
      </c>
      <c r="G27" s="36">
        <f>SUM(G12:G26)</f>
        <v>12599.362499999999</v>
      </c>
      <c r="H27" s="38">
        <f>SUM(H12:H26)</f>
        <v>19394.56397294335</v>
      </c>
      <c r="I27" s="37">
        <f t="shared" si="12"/>
        <v>-6795.2014729433504</v>
      </c>
      <c r="J27" s="36">
        <f>SUM(J12:J26)</f>
        <v>3491.2725</v>
      </c>
      <c r="K27" s="38">
        <f>SUM(K12:K26)</f>
        <v>4597.0437086577322</v>
      </c>
      <c r="L27" s="37">
        <f t="shared" si="13"/>
        <v>-1105.7712086577321</v>
      </c>
      <c r="M27" s="36">
        <f>SUM(M12:M26)</f>
        <v>2889.1025</v>
      </c>
      <c r="N27" s="38">
        <f>SUM(N12:N26)</f>
        <v>3349.3049087059062</v>
      </c>
      <c r="O27" s="37">
        <f t="shared" si="14"/>
        <v>-460.20240870590624</v>
      </c>
      <c r="P27" s="36">
        <f>SUM(P12:P26)</f>
        <v>21792.6</v>
      </c>
      <c r="Q27" s="38">
        <f t="shared" si="5"/>
        <v>27950.251312204917</v>
      </c>
      <c r="R27" s="347">
        <f t="shared" si="6"/>
        <v>-6157.6513122049182</v>
      </c>
      <c r="S27" s="357">
        <f t="shared" ref="S27:T27" si="15">SUM(S12:S26)</f>
        <v>27949</v>
      </c>
      <c r="T27" s="358">
        <f t="shared" si="15"/>
        <v>-1.2513122049166441</v>
      </c>
    </row>
    <row r="28" spans="1:20" ht="15.75" customHeight="1" thickBot="1" x14ac:dyDescent="0.3">
      <c r="A28" s="733" t="s">
        <v>79</v>
      </c>
      <c r="B28" s="734"/>
      <c r="C28" s="735"/>
      <c r="D28" s="686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52"/>
      <c r="T28" s="653"/>
    </row>
    <row r="29" spans="1:20" ht="31.5" x14ac:dyDescent="0.25">
      <c r="A29" s="186" t="s">
        <v>26</v>
      </c>
      <c r="B29" s="164" t="s">
        <v>80</v>
      </c>
      <c r="C29" s="105"/>
      <c r="D29" s="106"/>
      <c r="E29" s="107"/>
      <c r="F29" s="108">
        <f t="shared" si="11"/>
        <v>0</v>
      </c>
      <c r="G29" s="106">
        <v>101.63</v>
      </c>
      <c r="H29" s="107">
        <f>'Budget R2'!I6</f>
        <v>0</v>
      </c>
      <c r="I29" s="108">
        <f>G29-H29</f>
        <v>101.63</v>
      </c>
      <c r="J29" s="106">
        <v>101.63</v>
      </c>
      <c r="K29" s="107">
        <f>'Budget R2'!L6</f>
        <v>0</v>
      </c>
      <c r="L29" s="108">
        <f t="shared" si="13"/>
        <v>101.63</v>
      </c>
      <c r="M29" s="106">
        <v>101.63</v>
      </c>
      <c r="N29" s="107">
        <f>'Budget R2'!O6</f>
        <v>213.42862413237452</v>
      </c>
      <c r="O29" s="109">
        <f t="shared" si="14"/>
        <v>-111.79862413237453</v>
      </c>
      <c r="P29" s="110">
        <f t="shared" si="4"/>
        <v>304.89</v>
      </c>
      <c r="Q29" s="111">
        <f t="shared" si="5"/>
        <v>213.42862413237452</v>
      </c>
      <c r="R29" s="348">
        <f t="shared" si="6"/>
        <v>91.461375867625463</v>
      </c>
      <c r="S29" s="359">
        <v>213</v>
      </c>
      <c r="T29" s="360">
        <f t="shared" ref="T29:T41" si="16">S29-Q29</f>
        <v>-0.42862413237452301</v>
      </c>
    </row>
    <row r="30" spans="1:20" ht="72.75" customHeight="1" x14ac:dyDescent="0.25">
      <c r="A30" s="186" t="s">
        <v>27</v>
      </c>
      <c r="B30" s="165" t="s">
        <v>81</v>
      </c>
      <c r="C30" s="30"/>
      <c r="D30" s="28">
        <v>476.41</v>
      </c>
      <c r="E30" s="29">
        <f>'Budget R2'!F7</f>
        <v>426.85724826474905</v>
      </c>
      <c r="F30" s="24">
        <f t="shared" si="11"/>
        <v>49.552751735250979</v>
      </c>
      <c r="G30" s="28">
        <v>476.4</v>
      </c>
      <c r="H30" s="107">
        <f>'Budget R2'!I7</f>
        <v>0</v>
      </c>
      <c r="I30" s="24">
        <f t="shared" ref="I30:I53" si="17">G30-H30</f>
        <v>476.4</v>
      </c>
      <c r="J30" s="28">
        <v>476.4</v>
      </c>
      <c r="K30" s="107">
        <f>'Budget R2'!L7</f>
        <v>0</v>
      </c>
      <c r="L30" s="24">
        <f t="shared" si="13"/>
        <v>476.4</v>
      </c>
      <c r="M30" s="28">
        <v>476.4</v>
      </c>
      <c r="N30" s="107">
        <f>'Budget R2'!O7</f>
        <v>0</v>
      </c>
      <c r="O30" s="25">
        <f t="shared" si="14"/>
        <v>476.4</v>
      </c>
      <c r="P30" s="22">
        <f t="shared" si="4"/>
        <v>1905.61</v>
      </c>
      <c r="Q30" s="23">
        <f t="shared" si="5"/>
        <v>426.85724826474905</v>
      </c>
      <c r="R30" s="345">
        <f t="shared" si="6"/>
        <v>1478.752751735251</v>
      </c>
      <c r="S30" s="353">
        <v>427</v>
      </c>
      <c r="T30" s="354">
        <f t="shared" si="16"/>
        <v>0.14275173525095397</v>
      </c>
    </row>
    <row r="31" spans="1:20" ht="14.45" customHeight="1" x14ac:dyDescent="0.25">
      <c r="A31" s="730" t="s">
        <v>28</v>
      </c>
      <c r="B31" s="724" t="s">
        <v>82</v>
      </c>
      <c r="C31" s="27" t="s">
        <v>100</v>
      </c>
      <c r="D31" s="28"/>
      <c r="E31" s="29"/>
      <c r="F31" s="24">
        <f t="shared" si="11"/>
        <v>0</v>
      </c>
      <c r="G31" s="28">
        <v>457.35</v>
      </c>
      <c r="H31" s="107">
        <f>'Budget R2'!I8</f>
        <v>0</v>
      </c>
      <c r="I31" s="24">
        <f t="shared" si="17"/>
        <v>457.35</v>
      </c>
      <c r="J31" s="28"/>
      <c r="K31" s="107">
        <f>'Budget R2'!L8</f>
        <v>396.36744481726697</v>
      </c>
      <c r="L31" s="24">
        <f t="shared" si="13"/>
        <v>-396.36744481726697</v>
      </c>
      <c r="M31" s="28"/>
      <c r="N31" s="107">
        <f>'Budget R2'!O8</f>
        <v>0</v>
      </c>
      <c r="O31" s="25">
        <f t="shared" si="14"/>
        <v>0</v>
      </c>
      <c r="P31" s="22">
        <f t="shared" si="4"/>
        <v>457.35</v>
      </c>
      <c r="Q31" s="23">
        <f t="shared" si="5"/>
        <v>396.36744481726697</v>
      </c>
      <c r="R31" s="345">
        <f t="shared" si="6"/>
        <v>60.982555182733051</v>
      </c>
      <c r="S31" s="656">
        <v>907</v>
      </c>
      <c r="T31" s="659">
        <f>S31-Q31-Q32-Q33</f>
        <v>-7.1652562591793867E-2</v>
      </c>
    </row>
    <row r="32" spans="1:20" ht="15.75" customHeight="1" x14ac:dyDescent="0.25">
      <c r="A32" s="731"/>
      <c r="B32" s="725"/>
      <c r="C32" s="173" t="s">
        <v>117</v>
      </c>
      <c r="D32" s="22"/>
      <c r="E32" s="29">
        <f>'Budget R2'!F9</f>
        <v>15.244901723741037</v>
      </c>
      <c r="F32" s="24">
        <f t="shared" si="11"/>
        <v>-15.244901723741037</v>
      </c>
      <c r="G32" s="28">
        <v>228.67</v>
      </c>
      <c r="H32" s="107">
        <f>'Budget R2'!I9</f>
        <v>0</v>
      </c>
      <c r="I32" s="24">
        <f t="shared" si="17"/>
        <v>228.67</v>
      </c>
      <c r="J32" s="22"/>
      <c r="K32" s="107">
        <f>'Budget R2'!L9</f>
        <v>343.01028878417338</v>
      </c>
      <c r="L32" s="24">
        <f t="shared" si="13"/>
        <v>-343.01028878417338</v>
      </c>
      <c r="M32" s="22"/>
      <c r="N32" s="107">
        <f>'Budget R2'!O9</f>
        <v>0</v>
      </c>
      <c r="O32" s="25">
        <f t="shared" si="14"/>
        <v>0</v>
      </c>
      <c r="P32" s="22">
        <f t="shared" si="4"/>
        <v>228.67</v>
      </c>
      <c r="Q32" s="23">
        <f t="shared" si="5"/>
        <v>358.25519050791445</v>
      </c>
      <c r="R32" s="345">
        <f t="shared" si="6"/>
        <v>-129.58519050791446</v>
      </c>
      <c r="S32" s="657"/>
      <c r="T32" s="660"/>
    </row>
    <row r="33" spans="1:20" ht="30" x14ac:dyDescent="0.25">
      <c r="A33" s="732"/>
      <c r="B33" s="726"/>
      <c r="C33" s="27" t="s">
        <v>118</v>
      </c>
      <c r="D33" s="28"/>
      <c r="E33" s="29"/>
      <c r="F33" s="24">
        <f t="shared" si="11"/>
        <v>0</v>
      </c>
      <c r="G33" s="28">
        <v>228.67</v>
      </c>
      <c r="H33" s="107">
        <f>'Budget R2'!I10</f>
        <v>0</v>
      </c>
      <c r="I33" s="24">
        <f t="shared" si="17"/>
        <v>228.67</v>
      </c>
      <c r="J33" s="28"/>
      <c r="K33" s="107">
        <f>'Budget R2'!L10</f>
        <v>152.44901723741037</v>
      </c>
      <c r="L33" s="24">
        <f t="shared" si="13"/>
        <v>-152.44901723741037</v>
      </c>
      <c r="M33" s="28"/>
      <c r="N33" s="107">
        <f>'Budget R2'!O10</f>
        <v>0</v>
      </c>
      <c r="O33" s="25">
        <f t="shared" si="14"/>
        <v>0</v>
      </c>
      <c r="P33" s="22">
        <f t="shared" si="4"/>
        <v>228.67</v>
      </c>
      <c r="Q33" s="23">
        <f t="shared" si="5"/>
        <v>152.44901723741037</v>
      </c>
      <c r="R33" s="345">
        <f t="shared" si="6"/>
        <v>76.220982762589614</v>
      </c>
      <c r="S33" s="658"/>
      <c r="T33" s="661"/>
    </row>
    <row r="34" spans="1:20" ht="58.5" customHeight="1" x14ac:dyDescent="0.25">
      <c r="A34" s="186" t="s">
        <v>29</v>
      </c>
      <c r="B34" s="165" t="s">
        <v>83</v>
      </c>
      <c r="C34" s="27"/>
      <c r="D34" s="28"/>
      <c r="E34" s="29"/>
      <c r="F34" s="24">
        <f t="shared" si="11"/>
        <v>0</v>
      </c>
      <c r="G34" s="28">
        <v>254.09</v>
      </c>
      <c r="H34" s="107">
        <f>'Budget R2'!I11</f>
        <v>0</v>
      </c>
      <c r="I34" s="24">
        <f t="shared" si="17"/>
        <v>254.09</v>
      </c>
      <c r="J34" s="28">
        <v>254.08</v>
      </c>
      <c r="K34" s="107">
        <f>'Budget R2'!L11</f>
        <v>0</v>
      </c>
      <c r="L34" s="24">
        <f t="shared" si="13"/>
        <v>254.08</v>
      </c>
      <c r="M34" s="28">
        <v>254.08</v>
      </c>
      <c r="N34" s="107">
        <f>'Budget R2'!O11</f>
        <v>762.24508618705181</v>
      </c>
      <c r="O34" s="25">
        <f t="shared" si="14"/>
        <v>-508.16508618705177</v>
      </c>
      <c r="P34" s="22">
        <f t="shared" si="4"/>
        <v>762.25</v>
      </c>
      <c r="Q34" s="23">
        <f t="shared" si="5"/>
        <v>762.24508618705181</v>
      </c>
      <c r="R34" s="345">
        <f t="shared" si="6"/>
        <v>4.9138129481889337E-3</v>
      </c>
      <c r="S34" s="353">
        <v>762</v>
      </c>
      <c r="T34" s="354">
        <f t="shared" si="16"/>
        <v>-0.24508618705181107</v>
      </c>
    </row>
    <row r="35" spans="1:20" ht="63" x14ac:dyDescent="0.25">
      <c r="A35" s="186" t="s">
        <v>86</v>
      </c>
      <c r="B35" s="165" t="s">
        <v>84</v>
      </c>
      <c r="C35" s="30"/>
      <c r="D35" s="113"/>
      <c r="E35" s="114"/>
      <c r="F35" s="24">
        <f t="shared" si="11"/>
        <v>0</v>
      </c>
      <c r="G35" s="120">
        <v>80.12</v>
      </c>
      <c r="H35" s="107">
        <f>'Budget R2'!I12</f>
        <v>0</v>
      </c>
      <c r="I35" s="24">
        <f t="shared" si="17"/>
        <v>80.12</v>
      </c>
      <c r="J35" s="120">
        <v>150.5</v>
      </c>
      <c r="K35" s="107">
        <f>'Budget R2'!L12</f>
        <v>0</v>
      </c>
      <c r="L35" s="24">
        <f t="shared" si="13"/>
        <v>150.5</v>
      </c>
      <c r="M35" s="120">
        <v>150.5</v>
      </c>
      <c r="N35" s="107">
        <f>'Budget R2'!O12</f>
        <v>419.23479740287854</v>
      </c>
      <c r="O35" s="25">
        <f t="shared" si="14"/>
        <v>-268.73479740287854</v>
      </c>
      <c r="P35" s="22">
        <f t="shared" si="4"/>
        <v>381.12</v>
      </c>
      <c r="Q35" s="23">
        <f t="shared" si="5"/>
        <v>419.23479740287854</v>
      </c>
      <c r="R35" s="345">
        <f t="shared" si="6"/>
        <v>-38.114797402878537</v>
      </c>
      <c r="S35" s="353">
        <v>419</v>
      </c>
      <c r="T35" s="354">
        <f t="shared" si="16"/>
        <v>-0.23479740287854156</v>
      </c>
    </row>
    <row r="36" spans="1:20" ht="15.75" customHeight="1" x14ac:dyDescent="0.25">
      <c r="A36" s="730" t="s">
        <v>87</v>
      </c>
      <c r="B36" s="724" t="s">
        <v>85</v>
      </c>
      <c r="C36" s="27" t="s">
        <v>113</v>
      </c>
      <c r="D36" s="28">
        <v>68.599999999999994</v>
      </c>
      <c r="E36" s="29"/>
      <c r="F36" s="24">
        <f t="shared" si="11"/>
        <v>68.599999999999994</v>
      </c>
      <c r="G36" s="28"/>
      <c r="H36" s="107">
        <f>'Budget R2'!I13</f>
        <v>0</v>
      </c>
      <c r="I36" s="24">
        <f t="shared" si="17"/>
        <v>0</v>
      </c>
      <c r="J36" s="28"/>
      <c r="K36" s="107">
        <f>'Budget R2'!L13</f>
        <v>0</v>
      </c>
      <c r="L36" s="24">
        <f t="shared" si="13"/>
        <v>0</v>
      </c>
      <c r="M36" s="28"/>
      <c r="N36" s="107">
        <f>'Budget R2'!O13</f>
        <v>0</v>
      </c>
      <c r="O36" s="25">
        <f t="shared" si="14"/>
        <v>0</v>
      </c>
      <c r="P36" s="22">
        <f t="shared" si="4"/>
        <v>68.599999999999994</v>
      </c>
      <c r="Q36" s="23">
        <f t="shared" si="5"/>
        <v>0</v>
      </c>
      <c r="R36" s="345">
        <f t="shared" si="6"/>
        <v>68.599999999999994</v>
      </c>
      <c r="S36" s="353">
        <v>572</v>
      </c>
      <c r="T36" s="354">
        <f t="shared" si="16"/>
        <v>572</v>
      </c>
    </row>
    <row r="37" spans="1:20" x14ac:dyDescent="0.25">
      <c r="A37" s="731"/>
      <c r="B37" s="725"/>
      <c r="C37" s="27" t="s">
        <v>100</v>
      </c>
      <c r="D37" s="28">
        <v>228.67</v>
      </c>
      <c r="E37" s="29"/>
      <c r="F37" s="24">
        <f t="shared" si="11"/>
        <v>228.67</v>
      </c>
      <c r="G37" s="28"/>
      <c r="H37" s="107">
        <f>'Budget R2'!I14</f>
        <v>0</v>
      </c>
      <c r="I37" s="24">
        <f t="shared" si="17"/>
        <v>0</v>
      </c>
      <c r="J37" s="28"/>
      <c r="K37" s="107">
        <f>'Budget R2'!L14</f>
        <v>0</v>
      </c>
      <c r="L37" s="24">
        <f t="shared" si="13"/>
        <v>0</v>
      </c>
      <c r="M37" s="28"/>
      <c r="N37" s="107">
        <f>'Budget R2'!O14</f>
        <v>228.67352585611556</v>
      </c>
      <c r="O37" s="25">
        <f t="shared" si="14"/>
        <v>-228.67352585611556</v>
      </c>
      <c r="P37" s="22">
        <f t="shared" si="4"/>
        <v>228.67</v>
      </c>
      <c r="Q37" s="23">
        <f t="shared" si="5"/>
        <v>228.67352585611556</v>
      </c>
      <c r="R37" s="345">
        <f t="shared" si="6"/>
        <v>-3.5258561155728785E-3</v>
      </c>
      <c r="S37" s="353"/>
      <c r="T37" s="354">
        <f t="shared" si="16"/>
        <v>-228.67352585611556</v>
      </c>
    </row>
    <row r="38" spans="1:20" ht="15.75" customHeight="1" thickBot="1" x14ac:dyDescent="0.3">
      <c r="A38" s="732"/>
      <c r="B38" s="726"/>
      <c r="C38" s="27" t="s">
        <v>114</v>
      </c>
      <c r="D38" s="120">
        <v>160.07</v>
      </c>
      <c r="E38" s="114"/>
      <c r="F38" s="24">
        <f t="shared" si="11"/>
        <v>160.07</v>
      </c>
      <c r="G38" s="113"/>
      <c r="H38" s="107">
        <f>'Budget R2'!I15</f>
        <v>0</v>
      </c>
      <c r="I38" s="24">
        <f t="shared" si="17"/>
        <v>0</v>
      </c>
      <c r="J38" s="113"/>
      <c r="K38" s="107">
        <f>'Budget R2'!L15</f>
        <v>0</v>
      </c>
      <c r="L38" s="24">
        <f t="shared" si="13"/>
        <v>0</v>
      </c>
      <c r="M38" s="113"/>
      <c r="N38" s="107">
        <f>'Budget R2'!O15</f>
        <v>343.01028878417338</v>
      </c>
      <c r="O38" s="25">
        <f t="shared" si="14"/>
        <v>-343.01028878417338</v>
      </c>
      <c r="P38" s="22">
        <f t="shared" si="4"/>
        <v>160.07</v>
      </c>
      <c r="Q38" s="23">
        <f t="shared" si="5"/>
        <v>343.01028878417338</v>
      </c>
      <c r="R38" s="345">
        <f t="shared" si="6"/>
        <v>-182.94028878417339</v>
      </c>
      <c r="S38" s="361"/>
      <c r="T38" s="362">
        <f t="shared" si="16"/>
        <v>-343.01028878417338</v>
      </c>
    </row>
    <row r="39" spans="1:20" ht="15.75" customHeight="1" thickBot="1" x14ac:dyDescent="0.3">
      <c r="A39" s="696" t="s">
        <v>10</v>
      </c>
      <c r="B39" s="697"/>
      <c r="C39" s="698"/>
      <c r="D39" s="36">
        <f>SUM(D29:D38)</f>
        <v>933.75</v>
      </c>
      <c r="E39" s="36">
        <f>SUM(E29:E38)</f>
        <v>442.10214998849005</v>
      </c>
      <c r="F39" s="37">
        <f t="shared" si="11"/>
        <v>491.64785001150995</v>
      </c>
      <c r="G39" s="36">
        <f>SUM(G29:G38)</f>
        <v>1826.9300000000003</v>
      </c>
      <c r="H39" s="38">
        <f>SUM(H29:H38)</f>
        <v>0</v>
      </c>
      <c r="I39" s="37">
        <f>G39-H39</f>
        <v>1826.9300000000003</v>
      </c>
      <c r="J39" s="36">
        <f>SUM(J29:J38)</f>
        <v>982.61</v>
      </c>
      <c r="K39" s="38">
        <f>SUM(K29:K38)</f>
        <v>891.82675083885078</v>
      </c>
      <c r="L39" s="37">
        <f t="shared" si="13"/>
        <v>90.783249161149229</v>
      </c>
      <c r="M39" s="36">
        <f>SUM(M29:M38)</f>
        <v>982.61</v>
      </c>
      <c r="N39" s="38">
        <f>SUM(N29:N38)</f>
        <v>1966.5923223625937</v>
      </c>
      <c r="O39" s="37">
        <f t="shared" si="14"/>
        <v>-983.98232236259366</v>
      </c>
      <c r="P39" s="36">
        <f>SUM(P29:P38)</f>
        <v>4725.9000000000005</v>
      </c>
      <c r="Q39" s="38">
        <f t="shared" si="5"/>
        <v>3300.5212231899345</v>
      </c>
      <c r="R39" s="347">
        <f t="shared" si="6"/>
        <v>1425.378776810066</v>
      </c>
      <c r="S39" s="363">
        <f t="shared" ref="S39:T39" si="18">SUM(S29:S38)</f>
        <v>3300</v>
      </c>
      <c r="T39" s="364">
        <f t="shared" si="18"/>
        <v>-0.52122318993468753</v>
      </c>
    </row>
    <row r="40" spans="1:20" ht="15.75" thickBot="1" x14ac:dyDescent="0.3">
      <c r="A40" s="699" t="s">
        <v>88</v>
      </c>
      <c r="B40" s="700"/>
      <c r="C40" s="701"/>
      <c r="D40" s="686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52"/>
      <c r="T40" s="653"/>
    </row>
    <row r="41" spans="1:20" ht="54.75" customHeight="1" thickBot="1" x14ac:dyDescent="0.3">
      <c r="A41" s="115" t="s">
        <v>30</v>
      </c>
      <c r="B41" s="161" t="s">
        <v>89</v>
      </c>
      <c r="C41" s="116"/>
      <c r="D41" s="117">
        <v>228.68</v>
      </c>
      <c r="E41" s="118">
        <f>'Budget R3'!F6</f>
        <v>90.021144678690831</v>
      </c>
      <c r="F41" s="108">
        <f t="shared" si="11"/>
        <v>138.65885532130918</v>
      </c>
      <c r="G41" s="117">
        <v>228.67</v>
      </c>
      <c r="H41" s="118">
        <f>'Budget R3'!I6</f>
        <v>457.34705171223118</v>
      </c>
      <c r="I41" s="108">
        <f t="shared" si="17"/>
        <v>-228.67705171223119</v>
      </c>
      <c r="J41" s="117">
        <v>228.67</v>
      </c>
      <c r="K41" s="118">
        <f>'Budget R3'!L6</f>
        <v>91.469410342446224</v>
      </c>
      <c r="L41" s="108">
        <f t="shared" si="13"/>
        <v>137.20058965755376</v>
      </c>
      <c r="M41" s="117">
        <v>228.67</v>
      </c>
      <c r="N41" s="118">
        <f>'Budget R3'!O6</f>
        <v>589.97769670877835</v>
      </c>
      <c r="O41" s="109">
        <f t="shared" si="14"/>
        <v>-361.30769670877839</v>
      </c>
      <c r="P41" s="110">
        <f t="shared" si="4"/>
        <v>914.69</v>
      </c>
      <c r="Q41" s="111">
        <f t="shared" si="5"/>
        <v>1228.8153034421466</v>
      </c>
      <c r="R41" s="348">
        <f t="shared" si="6"/>
        <v>-314.12530344214656</v>
      </c>
      <c r="S41" s="365">
        <v>1229</v>
      </c>
      <c r="T41" s="366">
        <f t="shared" si="16"/>
        <v>0.18469655785338546</v>
      </c>
    </row>
    <row r="42" spans="1:20" ht="55.15" hidden="1" x14ac:dyDescent="0.25">
      <c r="A42" s="119"/>
      <c r="B42" s="177" t="s">
        <v>119</v>
      </c>
      <c r="C42" s="27"/>
      <c r="D42" s="28"/>
      <c r="E42" s="29"/>
      <c r="F42" s="24">
        <f t="shared" si="11"/>
        <v>0</v>
      </c>
      <c r="G42" s="28"/>
      <c r="H42" s="29"/>
      <c r="I42" s="24">
        <f t="shared" si="17"/>
        <v>0</v>
      </c>
      <c r="J42" s="28"/>
      <c r="K42" s="29"/>
      <c r="L42" s="24">
        <f t="shared" si="13"/>
        <v>0</v>
      </c>
      <c r="M42" s="28"/>
      <c r="N42" s="29"/>
      <c r="O42" s="25">
        <f t="shared" si="14"/>
        <v>0</v>
      </c>
      <c r="P42" s="22">
        <f t="shared" si="4"/>
        <v>0</v>
      </c>
      <c r="Q42" s="23">
        <f t="shared" si="5"/>
        <v>0</v>
      </c>
      <c r="R42" s="26">
        <f t="shared" si="6"/>
        <v>0</v>
      </c>
      <c r="S42" s="367"/>
      <c r="T42" s="368"/>
    </row>
    <row r="43" spans="1:20" ht="27.6" hidden="1" x14ac:dyDescent="0.25">
      <c r="A43" s="138"/>
      <c r="B43" s="178" t="s">
        <v>120</v>
      </c>
      <c r="C43" s="174"/>
      <c r="D43" s="175"/>
      <c r="E43" s="176"/>
      <c r="F43" s="24">
        <f t="shared" si="11"/>
        <v>0</v>
      </c>
      <c r="G43" s="175"/>
      <c r="H43" s="176"/>
      <c r="I43" s="33"/>
      <c r="J43" s="175"/>
      <c r="K43" s="176"/>
      <c r="L43" s="33"/>
      <c r="M43" s="175"/>
      <c r="N43" s="176"/>
      <c r="O43" s="34"/>
      <c r="P43" s="31"/>
      <c r="Q43" s="32"/>
      <c r="R43" s="35"/>
      <c r="S43" s="367"/>
      <c r="T43" s="368"/>
    </row>
    <row r="44" spans="1:20" ht="27.6" hidden="1" x14ac:dyDescent="0.25">
      <c r="A44" s="138"/>
      <c r="B44" s="178" t="s">
        <v>121</v>
      </c>
      <c r="C44" s="174"/>
      <c r="D44" s="175"/>
      <c r="E44" s="176"/>
      <c r="F44" s="24">
        <f t="shared" si="11"/>
        <v>0</v>
      </c>
      <c r="G44" s="175"/>
      <c r="H44" s="176"/>
      <c r="I44" s="33"/>
      <c r="J44" s="175"/>
      <c r="K44" s="176"/>
      <c r="L44" s="33"/>
      <c r="M44" s="175"/>
      <c r="N44" s="176"/>
      <c r="O44" s="34"/>
      <c r="P44" s="31"/>
      <c r="Q44" s="32"/>
      <c r="R44" s="35"/>
      <c r="S44" s="367"/>
      <c r="T44" s="368"/>
    </row>
    <row r="45" spans="1:20" ht="15.75" thickBot="1" x14ac:dyDescent="0.3">
      <c r="A45" s="674" t="s">
        <v>11</v>
      </c>
      <c r="B45" s="675"/>
      <c r="C45" s="676"/>
      <c r="D45" s="36">
        <f>SUM(D41:D44)</f>
        <v>228.68</v>
      </c>
      <c r="E45" s="36">
        <f>SUM(E41:E44)</f>
        <v>90.021144678690831</v>
      </c>
      <c r="F45" s="37">
        <f t="shared" si="11"/>
        <v>138.65885532130918</v>
      </c>
      <c r="G45" s="36">
        <f>SUM(G41:G44)</f>
        <v>228.67</v>
      </c>
      <c r="H45" s="38">
        <f>SUM(H41)</f>
        <v>457.34705171223118</v>
      </c>
      <c r="I45" s="37">
        <f t="shared" si="17"/>
        <v>-228.67705171223119</v>
      </c>
      <c r="J45" s="36">
        <f>SUM(J41:J44)</f>
        <v>228.67</v>
      </c>
      <c r="K45" s="38">
        <f>SUM(K41)</f>
        <v>91.469410342446224</v>
      </c>
      <c r="L45" s="37">
        <f t="shared" si="13"/>
        <v>137.20058965755376</v>
      </c>
      <c r="M45" s="36">
        <f>SUM(M41:M44)</f>
        <v>228.67</v>
      </c>
      <c r="N45" s="38">
        <f>SUM(N41)</f>
        <v>589.97769670877835</v>
      </c>
      <c r="O45" s="37">
        <f t="shared" si="14"/>
        <v>-361.30769670877839</v>
      </c>
      <c r="P45" s="36">
        <f>SUM(P41:P44)</f>
        <v>914.69</v>
      </c>
      <c r="Q45" s="38">
        <f t="shared" si="5"/>
        <v>1228.8153034421466</v>
      </c>
      <c r="R45" s="37">
        <f t="shared" si="6"/>
        <v>-314.12530344214656</v>
      </c>
      <c r="S45" s="357">
        <f t="shared" ref="S45:T45" si="19">SUM(S41:S44)</f>
        <v>1229</v>
      </c>
      <c r="T45" s="358">
        <f t="shared" si="19"/>
        <v>0.18469655785338546</v>
      </c>
    </row>
    <row r="46" spans="1:20" ht="15.75" thickBot="1" x14ac:dyDescent="0.3">
      <c r="A46" s="699" t="s">
        <v>90</v>
      </c>
      <c r="B46" s="700"/>
      <c r="C46" s="701"/>
      <c r="D46" s="686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8"/>
      <c r="S46" s="652"/>
      <c r="T46" s="653"/>
    </row>
    <row r="47" spans="1:20" ht="78.75" x14ac:dyDescent="0.25">
      <c r="A47" s="11" t="s">
        <v>31</v>
      </c>
      <c r="B47" s="166" t="s">
        <v>91</v>
      </c>
      <c r="C47" s="105"/>
      <c r="D47" s="106"/>
      <c r="E47" s="29">
        <f>'Budget R4'!F6</f>
        <v>0</v>
      </c>
      <c r="F47" s="108">
        <f t="shared" si="11"/>
        <v>0</v>
      </c>
      <c r="G47" s="106">
        <v>457.35</v>
      </c>
      <c r="H47" s="29">
        <f>'Budget R4'!I6</f>
        <v>0</v>
      </c>
      <c r="I47" s="108">
        <f t="shared" si="17"/>
        <v>457.35</v>
      </c>
      <c r="J47" s="106"/>
      <c r="K47" s="29">
        <f>'Budget R4'!L6</f>
        <v>686.02057756834665</v>
      </c>
      <c r="L47" s="108">
        <f t="shared" si="13"/>
        <v>-686.02057756834665</v>
      </c>
      <c r="M47" s="106"/>
      <c r="N47" s="29">
        <f>'Budget R4'!O6</f>
        <v>0</v>
      </c>
      <c r="O47" s="109">
        <f t="shared" si="14"/>
        <v>0</v>
      </c>
      <c r="P47" s="110">
        <f t="shared" si="4"/>
        <v>457.35</v>
      </c>
      <c r="Q47" s="111">
        <f t="shared" si="5"/>
        <v>686.02057756834665</v>
      </c>
      <c r="R47" s="348">
        <f t="shared" si="6"/>
        <v>-228.67057756834663</v>
      </c>
      <c r="S47" s="359">
        <v>686</v>
      </c>
      <c r="T47" s="360">
        <f t="shared" ref="T47:T54" si="20">S47-Q47</f>
        <v>-2.0577568346652697E-2</v>
      </c>
    </row>
    <row r="48" spans="1:20" ht="47.25" x14ac:dyDescent="0.25">
      <c r="A48" s="20" t="s">
        <v>32</v>
      </c>
      <c r="B48" s="167" t="s">
        <v>92</v>
      </c>
      <c r="C48" s="30"/>
      <c r="D48" s="22"/>
      <c r="E48" s="29">
        <f>'Budget R4'!F7</f>
        <v>0</v>
      </c>
      <c r="F48" s="24">
        <f t="shared" si="11"/>
        <v>0</v>
      </c>
      <c r="G48" s="28"/>
      <c r="H48" s="29">
        <f>'Budget R4'!I7</f>
        <v>0</v>
      </c>
      <c r="I48" s="24">
        <f t="shared" si="17"/>
        <v>0</v>
      </c>
      <c r="J48" s="22"/>
      <c r="K48" s="29">
        <f>'Budget R4'!L7</f>
        <v>0</v>
      </c>
      <c r="L48" s="24">
        <f t="shared" si="13"/>
        <v>0</v>
      </c>
      <c r="M48" s="28">
        <v>457.35</v>
      </c>
      <c r="N48" s="29">
        <f>'Budget R4'!O7</f>
        <v>0</v>
      </c>
      <c r="O48" s="25">
        <f t="shared" si="14"/>
        <v>457.35</v>
      </c>
      <c r="P48" s="22">
        <f t="shared" si="4"/>
        <v>457.35</v>
      </c>
      <c r="Q48" s="23">
        <f t="shared" si="5"/>
        <v>0</v>
      </c>
      <c r="R48" s="345">
        <f t="shared" si="6"/>
        <v>457.35</v>
      </c>
      <c r="S48" s="353"/>
      <c r="T48" s="354">
        <f t="shared" si="20"/>
        <v>0</v>
      </c>
    </row>
    <row r="49" spans="1:20" ht="31.5" x14ac:dyDescent="0.25">
      <c r="A49" s="662" t="s">
        <v>136</v>
      </c>
      <c r="B49" s="702" t="s">
        <v>93</v>
      </c>
      <c r="C49" s="179" t="s">
        <v>122</v>
      </c>
      <c r="D49" s="28"/>
      <c r="E49" s="29">
        <f>'Budget R4'!F8</f>
        <v>0</v>
      </c>
      <c r="F49" s="24">
        <f t="shared" si="11"/>
        <v>0</v>
      </c>
      <c r="G49" s="28"/>
      <c r="H49" s="29">
        <f>'Budget R4'!I8</f>
        <v>0</v>
      </c>
      <c r="I49" s="24">
        <f t="shared" si="17"/>
        <v>0</v>
      </c>
      <c r="J49" s="28"/>
      <c r="K49" s="29">
        <f>'Budget R4'!L8</f>
        <v>781.30121334172816</v>
      </c>
      <c r="L49" s="24">
        <f t="shared" si="13"/>
        <v>-781.30121334172816</v>
      </c>
      <c r="M49" s="28">
        <v>762.25</v>
      </c>
      <c r="N49" s="29">
        <f>'Budget R4'!O8</f>
        <v>596.99035150169902</v>
      </c>
      <c r="O49" s="25">
        <f t="shared" si="14"/>
        <v>165.25964849830098</v>
      </c>
      <c r="P49" s="22">
        <f t="shared" si="4"/>
        <v>762.25</v>
      </c>
      <c r="Q49" s="23">
        <f t="shared" si="5"/>
        <v>1378.2915648434273</v>
      </c>
      <c r="R49" s="345">
        <f t="shared" si="6"/>
        <v>-616.0415648434273</v>
      </c>
      <c r="S49" s="353">
        <v>5567</v>
      </c>
      <c r="T49" s="354">
        <f t="shared" si="20"/>
        <v>4188.7084351565727</v>
      </c>
    </row>
    <row r="50" spans="1:20" ht="31.5" x14ac:dyDescent="0.25">
      <c r="A50" s="663"/>
      <c r="B50" s="703"/>
      <c r="C50" s="179" t="s">
        <v>123</v>
      </c>
      <c r="D50" s="28"/>
      <c r="E50" s="29">
        <f>'Budget R4'!F9</f>
        <v>0</v>
      </c>
      <c r="F50" s="24">
        <f t="shared" si="11"/>
        <v>0</v>
      </c>
      <c r="G50" s="28"/>
      <c r="H50" s="29">
        <f>'Budget R4'!I9</f>
        <v>0</v>
      </c>
      <c r="I50" s="24">
        <f t="shared" si="17"/>
        <v>0</v>
      </c>
      <c r="J50" s="28"/>
      <c r="K50" s="29">
        <f>'Budget R4'!L9</f>
        <v>0</v>
      </c>
      <c r="L50" s="24">
        <f t="shared" si="13"/>
        <v>0</v>
      </c>
      <c r="M50" s="28">
        <v>8003.57</v>
      </c>
      <c r="N50" s="29">
        <f>'Budget R4'!O9</f>
        <v>1524.4901723741034</v>
      </c>
      <c r="O50" s="25">
        <f t="shared" si="14"/>
        <v>6479.0798276258965</v>
      </c>
      <c r="P50" s="22">
        <f t="shared" si="4"/>
        <v>8003.57</v>
      </c>
      <c r="Q50" s="23">
        <f t="shared" si="5"/>
        <v>1524.4901723741034</v>
      </c>
      <c r="R50" s="345">
        <f t="shared" si="6"/>
        <v>6479.0798276258965</v>
      </c>
      <c r="S50" s="353"/>
      <c r="T50" s="354">
        <f t="shared" si="20"/>
        <v>-1524.4901723741034</v>
      </c>
    </row>
    <row r="51" spans="1:20" ht="31.5" x14ac:dyDescent="0.25">
      <c r="A51" s="664"/>
      <c r="B51" s="704"/>
      <c r="C51" s="179" t="s">
        <v>124</v>
      </c>
      <c r="D51" s="28"/>
      <c r="E51" s="29">
        <f>'Budget R4'!F10</f>
        <v>0</v>
      </c>
      <c r="F51" s="24">
        <f t="shared" si="11"/>
        <v>0</v>
      </c>
      <c r="G51" s="28"/>
      <c r="H51" s="29">
        <f>'Budget R4'!I10</f>
        <v>0</v>
      </c>
      <c r="I51" s="24">
        <f t="shared" si="17"/>
        <v>0</v>
      </c>
      <c r="J51" s="28"/>
      <c r="K51" s="29">
        <f>'Budget R4'!L10</f>
        <v>0</v>
      </c>
      <c r="L51" s="24">
        <f t="shared" si="13"/>
        <v>0</v>
      </c>
      <c r="M51" s="28">
        <v>914.69</v>
      </c>
      <c r="N51" s="29">
        <f>'Budget R4'!O10</f>
        <v>289.65313275107974</v>
      </c>
      <c r="O51" s="25">
        <f t="shared" si="14"/>
        <v>625.03686724892032</v>
      </c>
      <c r="P51" s="22">
        <f t="shared" si="4"/>
        <v>914.69</v>
      </c>
      <c r="Q51" s="23">
        <f t="shared" si="5"/>
        <v>289.65313275107974</v>
      </c>
      <c r="R51" s="345">
        <f t="shared" si="6"/>
        <v>625.03686724892032</v>
      </c>
      <c r="S51" s="353"/>
      <c r="T51" s="354">
        <f t="shared" si="20"/>
        <v>-289.65313275107974</v>
      </c>
    </row>
    <row r="52" spans="1:20" ht="15.75" x14ac:dyDescent="0.25">
      <c r="A52" s="11" t="s">
        <v>137</v>
      </c>
      <c r="B52" s="184" t="s">
        <v>132</v>
      </c>
      <c r="C52" s="196" t="s">
        <v>138</v>
      </c>
      <c r="D52" s="28"/>
      <c r="E52" s="29">
        <f>'Budget R4'!F11</f>
        <v>850.66551618474978</v>
      </c>
      <c r="F52" s="24">
        <f t="shared" si="11"/>
        <v>-850.66551618474978</v>
      </c>
      <c r="G52" s="28">
        <v>3430.1</v>
      </c>
      <c r="H52" s="29">
        <f>'Budget R4'!I11</f>
        <v>1524.4901723741038</v>
      </c>
      <c r="I52" s="25">
        <f t="shared" si="17"/>
        <v>1905.6098276258961</v>
      </c>
      <c r="J52" s="28"/>
      <c r="K52" s="29">
        <f>'Budget R4'!L11</f>
        <v>0</v>
      </c>
      <c r="L52" s="24"/>
      <c r="M52" s="28"/>
      <c r="N52" s="29">
        <f>'Budget R4'!O11</f>
        <v>0</v>
      </c>
      <c r="O52" s="25"/>
      <c r="P52" s="22">
        <f t="shared" ref="P52" si="21">M52+J52+G52+D52</f>
        <v>3430.1</v>
      </c>
      <c r="Q52" s="23">
        <f t="shared" ref="Q52" si="22">N52+K52+H52+E52</f>
        <v>2375.1556885588534</v>
      </c>
      <c r="R52" s="345">
        <f t="shared" ref="R52" si="23">P52-Q52</f>
        <v>1054.9443114411465</v>
      </c>
      <c r="S52" s="353">
        <v>0</v>
      </c>
      <c r="T52" s="354">
        <f t="shared" si="20"/>
        <v>-2375.1556885588534</v>
      </c>
    </row>
    <row r="53" spans="1:20" ht="78.75" x14ac:dyDescent="0.25">
      <c r="A53" s="20" t="s">
        <v>139</v>
      </c>
      <c r="B53" s="168" t="s">
        <v>94</v>
      </c>
      <c r="C53" s="27"/>
      <c r="D53" s="28"/>
      <c r="E53" s="29">
        <f>'Budget R4'!F12</f>
        <v>0</v>
      </c>
      <c r="F53" s="24">
        <f t="shared" si="11"/>
        <v>0</v>
      </c>
      <c r="G53" s="28">
        <v>1524.49</v>
      </c>
      <c r="H53" s="29">
        <f>'Budget R4'!I12</f>
        <v>0</v>
      </c>
      <c r="I53" s="24">
        <f t="shared" si="17"/>
        <v>1524.49</v>
      </c>
      <c r="J53" s="28">
        <v>1524.49</v>
      </c>
      <c r="K53" s="29">
        <f>'Budget R4'!L12</f>
        <v>0</v>
      </c>
      <c r="L53" s="24">
        <f t="shared" si="13"/>
        <v>1524.49</v>
      </c>
      <c r="M53" s="28"/>
      <c r="N53" s="29">
        <f>'Budget R4'!O12</f>
        <v>0</v>
      </c>
      <c r="O53" s="25"/>
      <c r="P53" s="22">
        <f t="shared" si="4"/>
        <v>3048.98</v>
      </c>
      <c r="Q53" s="23">
        <f t="shared" si="5"/>
        <v>0</v>
      </c>
      <c r="R53" s="345">
        <f t="shared" si="6"/>
        <v>3048.98</v>
      </c>
      <c r="S53" s="353"/>
      <c r="T53" s="354">
        <f t="shared" si="20"/>
        <v>0</v>
      </c>
    </row>
    <row r="54" spans="1:20" ht="16.5" thickBot="1" x14ac:dyDescent="0.3">
      <c r="A54" s="199" t="s">
        <v>140</v>
      </c>
      <c r="B54" s="183" t="s">
        <v>132</v>
      </c>
      <c r="C54" s="200"/>
      <c r="D54" s="201"/>
      <c r="E54" s="29">
        <f>'Budget R4'!F13</f>
        <v>0</v>
      </c>
      <c r="F54" s="24">
        <f t="shared" si="11"/>
        <v>0</v>
      </c>
      <c r="G54" s="28">
        <v>1524.49</v>
      </c>
      <c r="H54" s="29">
        <f>'Budget R4'!I13</f>
        <v>0</v>
      </c>
      <c r="I54" s="24">
        <f>G54-H54</f>
        <v>1524.49</v>
      </c>
      <c r="J54" s="201"/>
      <c r="K54" s="29">
        <f>'Budget R4'!L13</f>
        <v>0</v>
      </c>
      <c r="L54" s="202"/>
      <c r="M54" s="201"/>
      <c r="N54" s="29">
        <f>'Budget R4'!O13</f>
        <v>0</v>
      </c>
      <c r="O54" s="203"/>
      <c r="P54" s="22">
        <f t="shared" ref="P54" si="24">M54+J54+G54+D54</f>
        <v>1524.49</v>
      </c>
      <c r="Q54" s="23">
        <f t="shared" ref="Q54" si="25">N54+K54+H54+E54</f>
        <v>0</v>
      </c>
      <c r="R54" s="345">
        <f t="shared" ref="R54" si="26">P54-Q54</f>
        <v>1524.49</v>
      </c>
      <c r="S54" s="361"/>
      <c r="T54" s="362">
        <f t="shared" si="20"/>
        <v>0</v>
      </c>
    </row>
    <row r="55" spans="1:20" ht="15.75" thickBot="1" x14ac:dyDescent="0.3">
      <c r="A55" s="674" t="s">
        <v>12</v>
      </c>
      <c r="B55" s="675"/>
      <c r="C55" s="676"/>
      <c r="D55" s="36">
        <f>SUM(D47:D54)</f>
        <v>0</v>
      </c>
      <c r="E55" s="36">
        <f>SUM(E47:E54)</f>
        <v>850.66551618474978</v>
      </c>
      <c r="F55" s="37">
        <f>D55-E55</f>
        <v>-850.66551618474978</v>
      </c>
      <c r="G55" s="36">
        <f>SUM(G47:G54)</f>
        <v>6936.4299999999994</v>
      </c>
      <c r="H55" s="36">
        <f>SUM(H47:H54)</f>
        <v>1524.4901723741038</v>
      </c>
      <c r="I55" s="37">
        <f>G55-H55</f>
        <v>5411.9398276258953</v>
      </c>
      <c r="J55" s="36">
        <f>SUM(J47:J53)</f>
        <v>1524.49</v>
      </c>
      <c r="K55" s="36">
        <f>SUM(K47:K54)</f>
        <v>1467.3217909100749</v>
      </c>
      <c r="L55" s="37">
        <f t="shared" ref="L55:L80" si="27">J55-K55</f>
        <v>57.168209089925085</v>
      </c>
      <c r="M55" s="36">
        <f>SUM(M47:M53)</f>
        <v>10137.86</v>
      </c>
      <c r="N55" s="36">
        <f>SUM(N47:N53)</f>
        <v>2411.1336566268824</v>
      </c>
      <c r="O55" s="37">
        <f t="shared" ref="O55:O80" si="28">M55-N55</f>
        <v>7726.7263433731187</v>
      </c>
      <c r="P55" s="36">
        <f>SUM(P47:P54)</f>
        <v>18598.780000000002</v>
      </c>
      <c r="Q55" s="38">
        <f t="shared" ref="Q55:Q78" si="29">N55+K55+H55+E55</f>
        <v>6253.6111360958112</v>
      </c>
      <c r="R55" s="37">
        <f t="shared" ref="R55:R80" si="30">P55-Q55</f>
        <v>12345.168863904191</v>
      </c>
      <c r="S55" s="363">
        <f t="shared" ref="S55:T55" si="31">SUM(S47:S53)</f>
        <v>6253</v>
      </c>
      <c r="T55" s="364">
        <f t="shared" si="31"/>
        <v>-0.61113609581070705</v>
      </c>
    </row>
    <row r="56" spans="1:20" ht="15.75" thickBot="1" x14ac:dyDescent="0.3">
      <c r="A56" s="668" t="s">
        <v>14</v>
      </c>
      <c r="B56" s="669"/>
      <c r="C56" s="670"/>
      <c r="D56" s="126">
        <f>SUM(D55,D45,D39,D27)</f>
        <v>3975.2924999999996</v>
      </c>
      <c r="E56" s="126">
        <f>SUM(E55,E45,E39,E27)</f>
        <v>1992.1275327498597</v>
      </c>
      <c r="F56" s="127">
        <f t="shared" ref="F56:F80" si="32">D56-E56</f>
        <v>1983.1649672501399</v>
      </c>
      <c r="G56" s="126">
        <f>G55+G45+G39+G27</f>
        <v>21591.392499999998</v>
      </c>
      <c r="H56" s="126">
        <f>SUM(H55,H45,H39,H27)</f>
        <v>21376.401197029685</v>
      </c>
      <c r="I56" s="129">
        <f t="shared" ref="I56:I80" si="33">G56-H56</f>
        <v>214.99130297031297</v>
      </c>
      <c r="J56" s="126">
        <f>J55+J45+J39+J27</f>
        <v>6227.0424999999996</v>
      </c>
      <c r="K56" s="126">
        <f>SUM(K55,K45,K39,K27)</f>
        <v>7047.6616607491042</v>
      </c>
      <c r="L56" s="129">
        <f t="shared" si="27"/>
        <v>-820.61916074910459</v>
      </c>
      <c r="M56" s="126">
        <f>M55+M45+M39+M27</f>
        <v>14238.2425</v>
      </c>
      <c r="N56" s="126">
        <f>SUM(N55,N45,N39,N27)</f>
        <v>8317.0085844041605</v>
      </c>
      <c r="O56" s="129">
        <f t="shared" si="28"/>
        <v>5921.2339155958398</v>
      </c>
      <c r="P56" s="126">
        <f t="shared" ref="P56:P78" si="34">M56+J56+G56+D56</f>
        <v>46031.97</v>
      </c>
      <c r="Q56" s="128">
        <f t="shared" si="29"/>
        <v>38733.198974932806</v>
      </c>
      <c r="R56" s="129">
        <f t="shared" si="30"/>
        <v>7298.7710250671953</v>
      </c>
      <c r="S56" s="369">
        <f t="shared" ref="S56:T56" si="35">S55+S45+S39+S27</f>
        <v>38731</v>
      </c>
      <c r="T56" s="370">
        <f t="shared" si="35"/>
        <v>-2.1989749328086532</v>
      </c>
    </row>
    <row r="57" spans="1:20" ht="23.25" customHeight="1" thickBot="1" x14ac:dyDescent="0.3">
      <c r="A57" s="671" t="s">
        <v>63</v>
      </c>
      <c r="B57" s="672"/>
      <c r="C57" s="673"/>
      <c r="D57" s="686"/>
      <c r="E57" s="687"/>
      <c r="F57" s="687"/>
      <c r="G57" s="687"/>
      <c r="H57" s="687"/>
      <c r="I57" s="687"/>
      <c r="J57" s="687"/>
      <c r="K57" s="687"/>
      <c r="L57" s="687"/>
      <c r="M57" s="687"/>
      <c r="N57" s="687"/>
      <c r="O57" s="687"/>
      <c r="P57" s="687"/>
      <c r="Q57" s="687"/>
      <c r="R57" s="688"/>
      <c r="S57" s="652"/>
      <c r="T57" s="653"/>
    </row>
    <row r="58" spans="1:20" ht="15.75" x14ac:dyDescent="0.25">
      <c r="A58" s="115" t="s">
        <v>36</v>
      </c>
      <c r="B58" s="171" t="s">
        <v>100</v>
      </c>
      <c r="C58" s="130"/>
      <c r="D58" s="106">
        <v>137.21</v>
      </c>
      <c r="E58" s="107">
        <f>FONCTIONNEMENT!F6</f>
        <v>76.224508618705187</v>
      </c>
      <c r="F58" s="108">
        <f t="shared" si="32"/>
        <v>60.985491381294821</v>
      </c>
      <c r="G58" s="106">
        <v>137.21</v>
      </c>
      <c r="H58" s="107">
        <f>FONCTIONNEMENT!I6</f>
        <v>53.509605050331039</v>
      </c>
      <c r="I58" s="108">
        <f t="shared" si="33"/>
        <v>83.700394949668976</v>
      </c>
      <c r="J58" s="106">
        <v>137.19999999999999</v>
      </c>
      <c r="K58" s="107">
        <f>FONCTIONNEMENT!L6</f>
        <v>271.35925068259036</v>
      </c>
      <c r="L58" s="108">
        <f t="shared" si="27"/>
        <v>-134.15925068259037</v>
      </c>
      <c r="M58" s="106">
        <v>137.19999999999999</v>
      </c>
      <c r="N58" s="107">
        <f>FONCTIONNEMENT!O6</f>
        <v>203.06209096023059</v>
      </c>
      <c r="O58" s="109">
        <f t="shared" si="28"/>
        <v>-65.862090960230603</v>
      </c>
      <c r="P58" s="110">
        <f t="shared" si="34"/>
        <v>548.82000000000005</v>
      </c>
      <c r="Q58" s="111">
        <f t="shared" si="29"/>
        <v>604.15545531185717</v>
      </c>
      <c r="R58" s="348">
        <f t="shared" si="30"/>
        <v>-55.335455311857118</v>
      </c>
      <c r="S58" s="359">
        <v>604</v>
      </c>
      <c r="T58" s="360">
        <f t="shared" ref="T58:T65" si="36">S58-Q58</f>
        <v>-0.15545531185716754</v>
      </c>
    </row>
    <row r="59" spans="1:20" ht="15.75" x14ac:dyDescent="0.25">
      <c r="A59" s="119" t="s">
        <v>37</v>
      </c>
      <c r="B59" s="171" t="s">
        <v>101</v>
      </c>
      <c r="C59" s="131"/>
      <c r="D59" s="28">
        <v>228.67</v>
      </c>
      <c r="E59" s="107">
        <f>FONCTIONNEMENT!F7</f>
        <v>0</v>
      </c>
      <c r="F59" s="24">
        <f t="shared" si="32"/>
        <v>228.67</v>
      </c>
      <c r="G59" s="28">
        <v>228.67</v>
      </c>
      <c r="H59" s="107">
        <f>FONCTIONNEMENT!I7</f>
        <v>0</v>
      </c>
      <c r="I59" s="24">
        <f t="shared" si="33"/>
        <v>228.67</v>
      </c>
      <c r="J59" s="28">
        <v>228.67</v>
      </c>
      <c r="K59" s="107">
        <f>FONCTIONNEMENT!L7</f>
        <v>0</v>
      </c>
      <c r="L59" s="24">
        <f t="shared" si="27"/>
        <v>228.67</v>
      </c>
      <c r="M59" s="28">
        <v>228.68</v>
      </c>
      <c r="N59" s="107">
        <f>FONCTIONNEMENT!O7</f>
        <v>37.350009223165543</v>
      </c>
      <c r="O59" s="25">
        <f t="shared" si="28"/>
        <v>191.32999077683445</v>
      </c>
      <c r="P59" s="22">
        <f t="shared" si="34"/>
        <v>914.68999999999994</v>
      </c>
      <c r="Q59" s="23">
        <f t="shared" si="29"/>
        <v>37.350009223165543</v>
      </c>
      <c r="R59" s="345">
        <f t="shared" si="30"/>
        <v>877.33999077683438</v>
      </c>
      <c r="S59" s="353">
        <v>37</v>
      </c>
      <c r="T59" s="354">
        <f t="shared" si="36"/>
        <v>-0.35000922316554295</v>
      </c>
    </row>
    <row r="60" spans="1:20" ht="15.75" x14ac:dyDescent="0.25">
      <c r="A60" s="119" t="s">
        <v>38</v>
      </c>
      <c r="B60" s="171" t="s">
        <v>102</v>
      </c>
      <c r="C60" s="132"/>
      <c r="D60" s="28">
        <v>228.67</v>
      </c>
      <c r="E60" s="107">
        <f>FONCTIONNEMENT!F8</f>
        <v>0</v>
      </c>
      <c r="F60" s="24">
        <f t="shared" si="32"/>
        <v>228.67</v>
      </c>
      <c r="G60" s="28">
        <v>228.67</v>
      </c>
      <c r="H60" s="107">
        <f>FONCTIONNEMENT!I8</f>
        <v>65.705526429323868</v>
      </c>
      <c r="I60" s="24">
        <f t="shared" si="33"/>
        <v>162.96447357067612</v>
      </c>
      <c r="J60" s="28">
        <v>228.67</v>
      </c>
      <c r="K60" s="107">
        <f>FONCTIONNEMENT!L8</f>
        <v>0</v>
      </c>
      <c r="L60" s="24">
        <f t="shared" si="27"/>
        <v>228.67</v>
      </c>
      <c r="M60" s="28">
        <v>228.68</v>
      </c>
      <c r="N60" s="107">
        <f>FONCTIONNEMENT!O8</f>
        <v>0</v>
      </c>
      <c r="O60" s="25">
        <f t="shared" si="28"/>
        <v>228.68</v>
      </c>
      <c r="P60" s="22">
        <f t="shared" si="34"/>
        <v>914.68999999999994</v>
      </c>
      <c r="Q60" s="23">
        <f t="shared" si="29"/>
        <v>65.705526429323868</v>
      </c>
      <c r="R60" s="345">
        <f t="shared" si="30"/>
        <v>848.98447357067607</v>
      </c>
      <c r="S60" s="353">
        <v>66</v>
      </c>
      <c r="T60" s="354">
        <f t="shared" si="36"/>
        <v>0.29447357067613211</v>
      </c>
    </row>
    <row r="61" spans="1:20" ht="15.75" x14ac:dyDescent="0.25">
      <c r="A61" s="119" t="s">
        <v>39</v>
      </c>
      <c r="B61" s="171" t="s">
        <v>103</v>
      </c>
      <c r="C61" s="132"/>
      <c r="D61" s="28">
        <v>137.21</v>
      </c>
      <c r="E61" s="107">
        <f>FONCTIONNEMENT!F9</f>
        <v>373.04274517994315</v>
      </c>
      <c r="F61" s="24">
        <f t="shared" si="32"/>
        <v>-235.83274517994315</v>
      </c>
      <c r="G61" s="106">
        <v>137.21</v>
      </c>
      <c r="H61" s="107">
        <f>FONCTIONNEMENT!I9</f>
        <v>0</v>
      </c>
      <c r="I61" s="24">
        <f t="shared" si="33"/>
        <v>137.21</v>
      </c>
      <c r="J61" s="106">
        <v>137.19999999999999</v>
      </c>
      <c r="K61" s="107">
        <f>FONCTIONNEMENT!L9</f>
        <v>263.43190178624513</v>
      </c>
      <c r="L61" s="24">
        <f t="shared" si="27"/>
        <v>-126.23190178624515</v>
      </c>
      <c r="M61" s="106">
        <v>137.19999999999999</v>
      </c>
      <c r="N61" s="107">
        <f>FONCTIONNEMENT!O9</f>
        <v>136.06074788438877</v>
      </c>
      <c r="O61" s="25">
        <f t="shared" si="28"/>
        <v>1.1392521156112139</v>
      </c>
      <c r="P61" s="22">
        <f t="shared" si="34"/>
        <v>548.82000000000005</v>
      </c>
      <c r="Q61" s="23">
        <f t="shared" si="29"/>
        <v>772.53539485057706</v>
      </c>
      <c r="R61" s="345">
        <f t="shared" si="30"/>
        <v>-223.71539485057701</v>
      </c>
      <c r="S61" s="353">
        <v>773</v>
      </c>
      <c r="T61" s="354">
        <f t="shared" si="36"/>
        <v>0.46460514942293685</v>
      </c>
    </row>
    <row r="62" spans="1:20" ht="15.75" x14ac:dyDescent="0.25">
      <c r="A62" s="119" t="s">
        <v>108</v>
      </c>
      <c r="B62" s="171" t="s">
        <v>104</v>
      </c>
      <c r="C62" s="133"/>
      <c r="D62" s="28">
        <v>68.599999999999994</v>
      </c>
      <c r="E62" s="107">
        <f>FONCTIONNEMENT!F10</f>
        <v>171.93200164035144</v>
      </c>
      <c r="F62" s="24">
        <f t="shared" si="32"/>
        <v>-103.33200164035145</v>
      </c>
      <c r="G62" s="28">
        <v>68.599999999999994</v>
      </c>
      <c r="H62" s="107">
        <f>FONCTIONNEMENT!I10</f>
        <v>154.98119541372375</v>
      </c>
      <c r="I62" s="24">
        <f t="shared" si="33"/>
        <v>-86.381195413723759</v>
      </c>
      <c r="J62" s="28">
        <v>68.599999999999994</v>
      </c>
      <c r="K62" s="107">
        <f>FONCTIONNEMENT!L10</f>
        <v>231.65695312345167</v>
      </c>
      <c r="L62" s="24">
        <f t="shared" si="27"/>
        <v>-163.05695312345168</v>
      </c>
      <c r="M62" s="28">
        <v>68.61</v>
      </c>
      <c r="N62" s="107">
        <f>FONCTIONNEMENT!O10</f>
        <v>32.868008116385681</v>
      </c>
      <c r="O62" s="25">
        <f t="shared" si="28"/>
        <v>35.741991883614318</v>
      </c>
      <c r="P62" s="22">
        <f t="shared" si="34"/>
        <v>274.40999999999997</v>
      </c>
      <c r="Q62" s="23">
        <f t="shared" si="29"/>
        <v>591.43815829391258</v>
      </c>
      <c r="R62" s="345">
        <f t="shared" si="30"/>
        <v>-317.02815829391261</v>
      </c>
      <c r="S62" s="353">
        <v>591</v>
      </c>
      <c r="T62" s="354">
        <f t="shared" si="36"/>
        <v>-0.43815829391257921</v>
      </c>
    </row>
    <row r="63" spans="1:20" ht="15.75" x14ac:dyDescent="0.25">
      <c r="A63" s="119" t="s">
        <v>109</v>
      </c>
      <c r="B63" s="171" t="s">
        <v>105</v>
      </c>
      <c r="C63" s="133"/>
      <c r="D63" s="28">
        <v>686.02</v>
      </c>
      <c r="E63" s="107">
        <f>FONCTIONNEMENT!F11</f>
        <v>686.02057756834665</v>
      </c>
      <c r="F63" s="24">
        <f t="shared" si="32"/>
        <v>-5.7756834667088697E-4</v>
      </c>
      <c r="G63" s="28">
        <v>686.02</v>
      </c>
      <c r="H63" s="107">
        <f>FONCTIONNEMENT!I11</f>
        <v>686.02057756834665</v>
      </c>
      <c r="I63" s="24">
        <f t="shared" si="33"/>
        <v>-5.7756834667088697E-4</v>
      </c>
      <c r="J63" s="28">
        <v>686.02</v>
      </c>
      <c r="K63" s="107">
        <f>FONCTIONNEMENT!L11</f>
        <v>686.02057756834665</v>
      </c>
      <c r="L63" s="24">
        <f t="shared" si="27"/>
        <v>-5.7756834667088697E-4</v>
      </c>
      <c r="M63" s="28">
        <v>686.02</v>
      </c>
      <c r="N63" s="107">
        <f>FONCTIONNEMENT!O11</f>
        <v>228.67352585611556</v>
      </c>
      <c r="O63" s="25">
        <f t="shared" si="28"/>
        <v>457.34647414388439</v>
      </c>
      <c r="P63" s="22">
        <f t="shared" si="34"/>
        <v>2744.08</v>
      </c>
      <c r="Q63" s="23">
        <f t="shared" si="29"/>
        <v>2286.7352585611557</v>
      </c>
      <c r="R63" s="345">
        <f t="shared" si="30"/>
        <v>457.34474143884427</v>
      </c>
      <c r="S63" s="353">
        <v>2287</v>
      </c>
      <c r="T63" s="354">
        <f t="shared" si="36"/>
        <v>0.26474143884433943</v>
      </c>
    </row>
    <row r="64" spans="1:20" ht="15.75" x14ac:dyDescent="0.25">
      <c r="A64" s="119" t="s">
        <v>110</v>
      </c>
      <c r="B64" s="171" t="s">
        <v>106</v>
      </c>
      <c r="C64" s="133"/>
      <c r="D64" s="28">
        <v>211.52</v>
      </c>
      <c r="E64" s="107">
        <f>FONCTIONNEMENT!F12</f>
        <v>126.37413732912373</v>
      </c>
      <c r="F64" s="24">
        <f t="shared" si="32"/>
        <v>85.145862670876284</v>
      </c>
      <c r="G64" s="28">
        <v>211.52</v>
      </c>
      <c r="H64" s="107">
        <f>FONCTIONNEMENT!I12</f>
        <v>168.49580079182022</v>
      </c>
      <c r="I64" s="24">
        <f t="shared" si="33"/>
        <v>43.024199208179795</v>
      </c>
      <c r="J64" s="28">
        <v>211.52</v>
      </c>
      <c r="K64" s="107">
        <f>FONCTIONNEMENT!L12</f>
        <v>168.49580079182022</v>
      </c>
      <c r="L64" s="24">
        <f t="shared" si="27"/>
        <v>43.024199208179795</v>
      </c>
      <c r="M64" s="28">
        <v>211.53</v>
      </c>
      <c r="N64" s="107">
        <f>FONCTIONNEMENT!O12</f>
        <v>56.165266930606734</v>
      </c>
      <c r="O64" s="25">
        <f t="shared" si="28"/>
        <v>155.36473306939325</v>
      </c>
      <c r="P64" s="22">
        <f t="shared" si="34"/>
        <v>846.09</v>
      </c>
      <c r="Q64" s="23">
        <f t="shared" si="29"/>
        <v>519.53100584337085</v>
      </c>
      <c r="R64" s="345">
        <f t="shared" si="30"/>
        <v>326.55899415662918</v>
      </c>
      <c r="S64" s="353">
        <v>520</v>
      </c>
      <c r="T64" s="354">
        <f t="shared" si="36"/>
        <v>0.46899415662915089</v>
      </c>
    </row>
    <row r="65" spans="1:20" ht="16.5" thickBot="1" x14ac:dyDescent="0.3">
      <c r="A65" s="119" t="s">
        <v>111</v>
      </c>
      <c r="B65" s="171" t="s">
        <v>107</v>
      </c>
      <c r="C65" s="21"/>
      <c r="D65" s="28">
        <v>160.07</v>
      </c>
      <c r="E65" s="107">
        <f>FONCTIONNEMENT!F13</f>
        <v>0</v>
      </c>
      <c r="F65" s="24">
        <f t="shared" si="32"/>
        <v>160.07</v>
      </c>
      <c r="G65" s="28">
        <v>160.07</v>
      </c>
      <c r="H65" s="107">
        <f>FONCTIONNEMENT!I13</f>
        <v>0</v>
      </c>
      <c r="I65" s="24">
        <f t="shared" si="33"/>
        <v>160.07</v>
      </c>
      <c r="J65" s="28">
        <v>160.07</v>
      </c>
      <c r="K65" s="107">
        <f>FONCTIONNEMENT!L13</f>
        <v>0</v>
      </c>
      <c r="L65" s="24">
        <f t="shared" si="27"/>
        <v>160.07</v>
      </c>
      <c r="M65" s="28">
        <v>160.08000000000001</v>
      </c>
      <c r="N65" s="107">
        <f>FONCTIONNEMENT!O13</f>
        <v>0</v>
      </c>
      <c r="O65" s="25">
        <f t="shared" si="28"/>
        <v>160.08000000000001</v>
      </c>
      <c r="P65" s="22">
        <f t="shared" si="34"/>
        <v>640.29</v>
      </c>
      <c r="Q65" s="23">
        <f t="shared" si="29"/>
        <v>0</v>
      </c>
      <c r="R65" s="345">
        <f t="shared" si="30"/>
        <v>640.29</v>
      </c>
      <c r="S65" s="361">
        <v>0</v>
      </c>
      <c r="T65" s="362">
        <f t="shared" si="36"/>
        <v>0</v>
      </c>
    </row>
    <row r="66" spans="1:20" ht="15.75" thickBot="1" x14ac:dyDescent="0.3">
      <c r="A66" s="674" t="s">
        <v>64</v>
      </c>
      <c r="B66" s="675"/>
      <c r="C66" s="676"/>
      <c r="D66" s="36">
        <f>SUM(D58:D65)</f>
        <v>1857.97</v>
      </c>
      <c r="E66" s="36">
        <f>SUM(E58:E65)</f>
        <v>1433.5939703364702</v>
      </c>
      <c r="F66" s="37">
        <f t="shared" si="32"/>
        <v>424.37602966352983</v>
      </c>
      <c r="G66" s="36">
        <f>SUM(G58:G65)</f>
        <v>1857.97</v>
      </c>
      <c r="H66" s="36">
        <f>SUM(H58:H65)</f>
        <v>1128.7127052535457</v>
      </c>
      <c r="I66" s="37">
        <f t="shared" si="33"/>
        <v>729.25729474645436</v>
      </c>
      <c r="J66" s="36">
        <f>SUM(J58:J65)</f>
        <v>1857.95</v>
      </c>
      <c r="K66" s="36">
        <f>SUM(K58:K65)</f>
        <v>1620.964483952454</v>
      </c>
      <c r="L66" s="37">
        <f t="shared" si="27"/>
        <v>236.98551604754607</v>
      </c>
      <c r="M66" s="36">
        <f>SUM(M58:M65)</f>
        <v>1857.9999999999998</v>
      </c>
      <c r="N66" s="36">
        <f>SUM(N58:N65)</f>
        <v>694.17964897089291</v>
      </c>
      <c r="O66" s="37">
        <f t="shared" si="28"/>
        <v>1163.8203510291069</v>
      </c>
      <c r="P66" s="36">
        <f>SUM(P58:P65)</f>
        <v>7431.89</v>
      </c>
      <c r="Q66" s="38">
        <f t="shared" si="29"/>
        <v>4877.4508085133621</v>
      </c>
      <c r="R66" s="37">
        <f t="shared" si="30"/>
        <v>2554.4391914866383</v>
      </c>
      <c r="S66" s="357">
        <f t="shared" ref="S66:T66" si="37">SUM(S58:S65)</f>
        <v>4878</v>
      </c>
      <c r="T66" s="358">
        <f t="shared" si="37"/>
        <v>0.54919148663726958</v>
      </c>
    </row>
    <row r="67" spans="1:20" ht="15" customHeight="1" thickBot="1" x14ac:dyDescent="0.3">
      <c r="A67" s="677" t="s">
        <v>40</v>
      </c>
      <c r="B67" s="678"/>
      <c r="C67" s="679"/>
      <c r="D67" s="686"/>
      <c r="E67" s="687"/>
      <c r="F67" s="687"/>
      <c r="G67" s="687"/>
      <c r="H67" s="687"/>
      <c r="I67" s="687"/>
      <c r="J67" s="687"/>
      <c r="K67" s="687"/>
      <c r="L67" s="687"/>
      <c r="M67" s="687"/>
      <c r="N67" s="687"/>
      <c r="O67" s="687"/>
      <c r="P67" s="687"/>
      <c r="Q67" s="687"/>
      <c r="R67" s="688"/>
      <c r="S67" s="652"/>
      <c r="T67" s="653"/>
    </row>
    <row r="68" spans="1:20" ht="15.75" x14ac:dyDescent="0.25">
      <c r="A68" s="115" t="s">
        <v>33</v>
      </c>
      <c r="B68" s="169" t="s">
        <v>96</v>
      </c>
      <c r="C68" s="134"/>
      <c r="D68" s="117">
        <v>1600.72</v>
      </c>
      <c r="E68" s="118">
        <f>RH!F6</f>
        <v>1520.2215998914564</v>
      </c>
      <c r="F68" s="108">
        <f t="shared" si="32"/>
        <v>80.498400108543592</v>
      </c>
      <c r="G68" s="117">
        <v>1600.72</v>
      </c>
      <c r="H68" s="118">
        <f>RH!I6</f>
        <v>1520.2215998914564</v>
      </c>
      <c r="I68" s="108">
        <f t="shared" si="33"/>
        <v>80.498400108543592</v>
      </c>
      <c r="J68" s="117">
        <v>1600.71</v>
      </c>
      <c r="K68" s="118">
        <f>RH!L6</f>
        <v>1520.2215998914564</v>
      </c>
      <c r="L68" s="108">
        <f t="shared" si="27"/>
        <v>80.488400108543601</v>
      </c>
      <c r="M68" s="117">
        <v>1600.71</v>
      </c>
      <c r="N68" s="118">
        <f>RH!O6</f>
        <v>506.74053329715213</v>
      </c>
      <c r="O68" s="109">
        <f t="shared" si="28"/>
        <v>1093.969466702848</v>
      </c>
      <c r="P68" s="110">
        <f t="shared" si="34"/>
        <v>6402.8600000000006</v>
      </c>
      <c r="Q68" s="111">
        <f t="shared" si="29"/>
        <v>5067.4053329715216</v>
      </c>
      <c r="R68" s="348">
        <f t="shared" si="30"/>
        <v>1335.454667028479</v>
      </c>
      <c r="S68" s="359">
        <v>5067</v>
      </c>
      <c r="T68" s="360">
        <f t="shared" ref="T68:T71" si="38">S68-Q68</f>
        <v>-0.4053329715216023</v>
      </c>
    </row>
    <row r="69" spans="1:20" ht="15.75" x14ac:dyDescent="0.25">
      <c r="A69" s="119" t="s">
        <v>34</v>
      </c>
      <c r="B69" s="169" t="s">
        <v>97</v>
      </c>
      <c r="C69" s="132"/>
      <c r="D69" s="136">
        <v>914.7</v>
      </c>
      <c r="E69" s="118">
        <f>RH!F7</f>
        <v>457.34705171223112</v>
      </c>
      <c r="F69" s="24">
        <f t="shared" si="32"/>
        <v>457.35294828776892</v>
      </c>
      <c r="G69" s="136">
        <v>914.7</v>
      </c>
      <c r="H69" s="137">
        <f>RH!I7</f>
        <v>1600.714680992809</v>
      </c>
      <c r="I69" s="24">
        <f t="shared" si="33"/>
        <v>-686.01468099280896</v>
      </c>
      <c r="J69" s="136">
        <v>914.69</v>
      </c>
      <c r="K69" s="137">
        <f>RH!L7</f>
        <v>1600.714680992809</v>
      </c>
      <c r="L69" s="24">
        <f t="shared" si="27"/>
        <v>-686.02468099280895</v>
      </c>
      <c r="M69" s="136">
        <v>914.69</v>
      </c>
      <c r="N69" s="137">
        <f>RH!O7</f>
        <v>0</v>
      </c>
      <c r="O69" s="25">
        <f t="shared" si="28"/>
        <v>914.69</v>
      </c>
      <c r="P69" s="22">
        <f t="shared" si="34"/>
        <v>3658.7799999999997</v>
      </c>
      <c r="Q69" s="23">
        <f t="shared" si="29"/>
        <v>3658.776413697849</v>
      </c>
      <c r="R69" s="345">
        <f t="shared" si="30"/>
        <v>3.5863021507793746E-3</v>
      </c>
      <c r="S69" s="353">
        <v>3659</v>
      </c>
      <c r="T69" s="354">
        <f t="shared" si="38"/>
        <v>0.22358630215103403</v>
      </c>
    </row>
    <row r="70" spans="1:20" ht="15.75" x14ac:dyDescent="0.25">
      <c r="A70" s="119" t="s">
        <v>35</v>
      </c>
      <c r="B70" s="170" t="s">
        <v>98</v>
      </c>
      <c r="C70" s="132"/>
      <c r="D70" s="136">
        <v>914.7</v>
      </c>
      <c r="E70" s="118">
        <f>RH!F8</f>
        <v>914.90448306824999</v>
      </c>
      <c r="F70" s="24">
        <f t="shared" si="32"/>
        <v>-0.20448306824994233</v>
      </c>
      <c r="G70" s="136">
        <v>914.7</v>
      </c>
      <c r="H70" s="137">
        <f>RH!I8</f>
        <v>914.90448306824999</v>
      </c>
      <c r="I70" s="24">
        <f t="shared" si="33"/>
        <v>-0.20448306824994233</v>
      </c>
      <c r="J70" s="136">
        <v>914.69</v>
      </c>
      <c r="K70" s="137">
        <f>RH!L8</f>
        <v>914.90448306824976</v>
      </c>
      <c r="L70" s="24">
        <f t="shared" si="27"/>
        <v>-0.21448306824970587</v>
      </c>
      <c r="M70" s="136">
        <v>914.69</v>
      </c>
      <c r="N70" s="137">
        <f>RH!O8</f>
        <v>304.96816102275</v>
      </c>
      <c r="O70" s="25">
        <f t="shared" si="28"/>
        <v>609.72183897725006</v>
      </c>
      <c r="P70" s="22">
        <f t="shared" si="34"/>
        <v>3658.7799999999997</v>
      </c>
      <c r="Q70" s="23">
        <f t="shared" si="29"/>
        <v>3049.6816102274997</v>
      </c>
      <c r="R70" s="345">
        <f t="shared" si="30"/>
        <v>609.09838977250001</v>
      </c>
      <c r="S70" s="353">
        <v>3050</v>
      </c>
      <c r="T70" s="354">
        <f t="shared" si="38"/>
        <v>0.31838977250026801</v>
      </c>
    </row>
    <row r="71" spans="1:20" ht="16.5" thickBot="1" x14ac:dyDescent="0.3">
      <c r="A71" s="119" t="s">
        <v>95</v>
      </c>
      <c r="B71" s="170" t="s">
        <v>99</v>
      </c>
      <c r="C71" s="132"/>
      <c r="D71" s="136">
        <v>3201.43</v>
      </c>
      <c r="E71" s="118">
        <f>RH!F9</f>
        <v>2934.6435818201498</v>
      </c>
      <c r="F71" s="24">
        <f t="shared" si="32"/>
        <v>266.78641817984999</v>
      </c>
      <c r="G71" s="136">
        <v>3201.43</v>
      </c>
      <c r="H71" s="137">
        <f>RH!I9</f>
        <v>3201.429361985618</v>
      </c>
      <c r="I71" s="24">
        <f t="shared" si="33"/>
        <v>6.3801438182053971E-4</v>
      </c>
      <c r="J71" s="136">
        <v>3201.43</v>
      </c>
      <c r="K71" s="137">
        <f>RH!L9</f>
        <v>3201.429361985618</v>
      </c>
      <c r="L71" s="24">
        <f t="shared" si="27"/>
        <v>6.3801438182053971E-4</v>
      </c>
      <c r="M71" s="136">
        <v>3201.43</v>
      </c>
      <c r="N71" s="137">
        <f>RH!O9</f>
        <v>1067.1431206618727</v>
      </c>
      <c r="O71" s="25">
        <f t="shared" si="28"/>
        <v>2134.2868793381272</v>
      </c>
      <c r="P71" s="22">
        <f t="shared" si="34"/>
        <v>12805.72</v>
      </c>
      <c r="Q71" s="23">
        <f t="shared" si="29"/>
        <v>10404.645426453259</v>
      </c>
      <c r="R71" s="345">
        <f t="shared" si="30"/>
        <v>2401.0745735467408</v>
      </c>
      <c r="S71" s="361">
        <v>10405</v>
      </c>
      <c r="T71" s="362">
        <f t="shared" si="38"/>
        <v>0.35457354674144881</v>
      </c>
    </row>
    <row r="72" spans="1:20" ht="15.75" thickBot="1" x14ac:dyDescent="0.3">
      <c r="A72" s="674" t="s">
        <v>15</v>
      </c>
      <c r="B72" s="675"/>
      <c r="C72" s="676"/>
      <c r="D72" s="36">
        <f>SUM(D68:D71)</f>
        <v>6631.5499999999993</v>
      </c>
      <c r="E72" s="36">
        <f>SUM(E68:E71)</f>
        <v>5827.116716492088</v>
      </c>
      <c r="F72" s="37">
        <f t="shared" si="32"/>
        <v>804.43328350791126</v>
      </c>
      <c r="G72" s="36">
        <f>SUM(G68:G71)</f>
        <v>6631.5499999999993</v>
      </c>
      <c r="H72" s="36">
        <f>SUM(H68:H71)</f>
        <v>7237.2701259381338</v>
      </c>
      <c r="I72" s="37">
        <f t="shared" si="33"/>
        <v>-605.72012593813452</v>
      </c>
      <c r="J72" s="36">
        <f>SUM(J68:J71)</f>
        <v>6631.52</v>
      </c>
      <c r="K72" s="36">
        <f>SUM(K68:K71)</f>
        <v>7237.2701259381329</v>
      </c>
      <c r="L72" s="37">
        <f t="shared" si="27"/>
        <v>-605.75012593813244</v>
      </c>
      <c r="M72" s="36">
        <f>SUM(M68:M71)</f>
        <v>6631.52</v>
      </c>
      <c r="N72" s="36">
        <f>SUM(N68:N71)</f>
        <v>1878.8518149817749</v>
      </c>
      <c r="O72" s="37">
        <f t="shared" si="28"/>
        <v>4752.6681850182258</v>
      </c>
      <c r="P72" s="36">
        <f>SUM(P68:P71)</f>
        <v>26526.14</v>
      </c>
      <c r="Q72" s="38">
        <f t="shared" si="29"/>
        <v>22180.508783350131</v>
      </c>
      <c r="R72" s="37">
        <f t="shared" si="30"/>
        <v>4345.6312166498683</v>
      </c>
      <c r="S72" s="371">
        <f>SUM(S68:S71)</f>
        <v>22181</v>
      </c>
      <c r="T72" s="372">
        <f>SUM(T68:T71)</f>
        <v>0.49121664987114855</v>
      </c>
    </row>
    <row r="73" spans="1:20" ht="54.75" customHeight="1" thickBot="1" x14ac:dyDescent="0.3">
      <c r="A73" s="668" t="s">
        <v>65</v>
      </c>
      <c r="B73" s="669"/>
      <c r="C73" s="670"/>
      <c r="D73" s="126">
        <f>D66+D72</f>
        <v>8489.5199999999986</v>
      </c>
      <c r="E73" s="126">
        <f>E66+E72</f>
        <v>7260.7106868285582</v>
      </c>
      <c r="F73" s="127">
        <f t="shared" si="32"/>
        <v>1228.8093131714404</v>
      </c>
      <c r="G73" s="126">
        <f>G66+G72</f>
        <v>8489.5199999999986</v>
      </c>
      <c r="H73" s="126">
        <f>H72+H66</f>
        <v>8365.982831191679</v>
      </c>
      <c r="I73" s="127">
        <f t="shared" si="33"/>
        <v>123.53716880831962</v>
      </c>
      <c r="J73" s="126">
        <f>J66+J72</f>
        <v>8489.4700000000012</v>
      </c>
      <c r="K73" s="126">
        <f>K66+K72</f>
        <v>8858.2346098905873</v>
      </c>
      <c r="L73" s="127">
        <f t="shared" si="27"/>
        <v>-368.76460989058614</v>
      </c>
      <c r="M73" s="126">
        <f>M66+M72</f>
        <v>8489.52</v>
      </c>
      <c r="N73" s="126">
        <f>N66+N72</f>
        <v>2573.0314639526678</v>
      </c>
      <c r="O73" s="127">
        <f t="shared" si="28"/>
        <v>5916.4885360473327</v>
      </c>
      <c r="P73" s="126">
        <f>P66+P72</f>
        <v>33958.03</v>
      </c>
      <c r="Q73" s="128">
        <f t="shared" si="29"/>
        <v>27057.959591863491</v>
      </c>
      <c r="R73" s="129">
        <f t="shared" si="30"/>
        <v>6900.0704081365075</v>
      </c>
      <c r="S73" s="373">
        <f>S66+S72</f>
        <v>27059</v>
      </c>
      <c r="T73" s="374">
        <f>T66+T72</f>
        <v>1.0404081365084181</v>
      </c>
    </row>
    <row r="74" spans="1:20" ht="42" customHeight="1" thickBot="1" x14ac:dyDescent="0.3">
      <c r="A74" s="665" t="s">
        <v>16</v>
      </c>
      <c r="B74" s="666"/>
      <c r="C74" s="667"/>
      <c r="D74" s="139">
        <f>D73+D56</f>
        <v>12464.812499999998</v>
      </c>
      <c r="E74" s="139">
        <f>E73+E56</f>
        <v>9252.8382195784179</v>
      </c>
      <c r="F74" s="140">
        <f t="shared" si="32"/>
        <v>3211.9742804215803</v>
      </c>
      <c r="G74" s="139">
        <f>G73+G56</f>
        <v>30080.912499999999</v>
      </c>
      <c r="H74" s="139">
        <f>H73+H56</f>
        <v>29742.384028221364</v>
      </c>
      <c r="I74" s="140">
        <f t="shared" si="33"/>
        <v>338.52847177863441</v>
      </c>
      <c r="J74" s="139">
        <f>J73+J56</f>
        <v>14716.512500000001</v>
      </c>
      <c r="K74" s="139">
        <f>K73+K56</f>
        <v>15905.896270639692</v>
      </c>
      <c r="L74" s="140">
        <f t="shared" si="27"/>
        <v>-1189.3837706396916</v>
      </c>
      <c r="M74" s="139">
        <f>M73+M56</f>
        <v>22727.762500000001</v>
      </c>
      <c r="N74" s="139">
        <f>N73+N56</f>
        <v>10890.040048356828</v>
      </c>
      <c r="O74" s="140">
        <f t="shared" si="28"/>
        <v>11837.722451643172</v>
      </c>
      <c r="P74" s="139">
        <f>P73+P56</f>
        <v>79990</v>
      </c>
      <c r="Q74" s="141">
        <f t="shared" si="29"/>
        <v>65791.158566796308</v>
      </c>
      <c r="R74" s="142">
        <f t="shared" si="30"/>
        <v>14198.841433203692</v>
      </c>
      <c r="S74" s="375">
        <f>S73+S56</f>
        <v>65790</v>
      </c>
      <c r="T74" s="376">
        <f>T73+T56</f>
        <v>-1.1585667963002351</v>
      </c>
    </row>
    <row r="75" spans="1:20" ht="28.5" customHeight="1" x14ac:dyDescent="0.25">
      <c r="A75" s="680" t="s">
        <v>66</v>
      </c>
      <c r="B75" s="681"/>
      <c r="C75" s="682"/>
      <c r="D75" s="143"/>
      <c r="E75" s="143"/>
      <c r="F75" s="146"/>
      <c r="G75" s="143"/>
      <c r="H75" s="143"/>
      <c r="I75" s="146"/>
      <c r="J75" s="143"/>
      <c r="K75" s="143"/>
      <c r="L75" s="146"/>
      <c r="M75" s="143"/>
      <c r="N75" s="143"/>
      <c r="O75" s="146"/>
      <c r="P75" s="144"/>
      <c r="Q75" s="145"/>
      <c r="R75" s="146"/>
      <c r="S75" s="377"/>
      <c r="T75" s="378"/>
    </row>
    <row r="76" spans="1:20" ht="30" customHeight="1" x14ac:dyDescent="0.25">
      <c r="A76" s="683" t="s">
        <v>17</v>
      </c>
      <c r="B76" s="684"/>
      <c r="C76" s="685"/>
      <c r="D76" s="147">
        <f>SUM(D77:D78)</f>
        <v>3963.67</v>
      </c>
      <c r="E76" s="147">
        <f>SUM(E77:E78)</f>
        <v>3963.6744481726701</v>
      </c>
      <c r="F76" s="148">
        <f t="shared" si="32"/>
        <v>-4.4481726699814317E-3</v>
      </c>
      <c r="G76" s="147">
        <f>SUM(G77:G78)</f>
        <v>0</v>
      </c>
      <c r="H76" s="147">
        <f>SUM(H77:H78)</f>
        <v>0</v>
      </c>
      <c r="I76" s="148">
        <f t="shared" si="33"/>
        <v>0</v>
      </c>
      <c r="J76" s="147">
        <f>SUM(J77:J78)</f>
        <v>0</v>
      </c>
      <c r="K76" s="147">
        <f>SUM(K77:K78)</f>
        <v>609.79606894964149</v>
      </c>
      <c r="L76" s="148">
        <f t="shared" si="27"/>
        <v>-609.79606894964149</v>
      </c>
      <c r="M76" s="147">
        <f>SUM(M77:M78)</f>
        <v>750</v>
      </c>
      <c r="N76" s="147">
        <f>SUM(N77:N78)</f>
        <v>0</v>
      </c>
      <c r="O76" s="148">
        <f t="shared" si="28"/>
        <v>750</v>
      </c>
      <c r="P76" s="149">
        <f>SUM(O76)</f>
        <v>750</v>
      </c>
      <c r="Q76" s="150">
        <f t="shared" si="29"/>
        <v>4573.4705171223113</v>
      </c>
      <c r="R76" s="151">
        <f t="shared" si="30"/>
        <v>-3823.4705171223113</v>
      </c>
      <c r="S76" s="379">
        <f t="shared" ref="S76:T76" si="39">SUM(S77:S78)</f>
        <v>4574</v>
      </c>
      <c r="T76" s="380">
        <f t="shared" si="39"/>
        <v>0.52948287768845148</v>
      </c>
    </row>
    <row r="77" spans="1:20" x14ac:dyDescent="0.25">
      <c r="A77" s="119"/>
      <c r="B77" s="135" t="s">
        <v>112</v>
      </c>
      <c r="C77" s="132"/>
      <c r="D77" s="152"/>
      <c r="E77" s="153"/>
      <c r="F77" s="24">
        <f t="shared" si="32"/>
        <v>0</v>
      </c>
      <c r="G77" s="152"/>
      <c r="H77" s="153"/>
      <c r="I77" s="24">
        <f t="shared" si="33"/>
        <v>0</v>
      </c>
      <c r="J77" s="152"/>
      <c r="K77" s="153">
        <f>'FRAIS DENCADREMENT'!L6</f>
        <v>609.79606894964149</v>
      </c>
      <c r="L77" s="24">
        <f t="shared" si="27"/>
        <v>-609.79606894964149</v>
      </c>
      <c r="M77" s="152">
        <v>750</v>
      </c>
      <c r="N77" s="153"/>
      <c r="O77" s="25">
        <f t="shared" si="28"/>
        <v>750</v>
      </c>
      <c r="P77" s="22">
        <f t="shared" si="34"/>
        <v>750</v>
      </c>
      <c r="Q77" s="23">
        <f t="shared" si="29"/>
        <v>609.79606894964149</v>
      </c>
      <c r="R77" s="345">
        <f t="shared" si="30"/>
        <v>140.20393105035851</v>
      </c>
      <c r="S77" s="381">
        <v>610</v>
      </c>
      <c r="T77" s="382">
        <f t="shared" ref="T77:T78" si="40">S77-Q77</f>
        <v>0.20393105035850567</v>
      </c>
    </row>
    <row r="78" spans="1:20" ht="15.75" thickBot="1" x14ac:dyDescent="0.3">
      <c r="A78" s="119"/>
      <c r="B78" s="135" t="s">
        <v>125</v>
      </c>
      <c r="C78" s="132"/>
      <c r="D78" s="152">
        <v>3963.67</v>
      </c>
      <c r="E78" s="153">
        <f>'FRAIS DENCADREMENT'!F7</f>
        <v>3963.6744481726701</v>
      </c>
      <c r="F78" s="24">
        <f t="shared" si="32"/>
        <v>-4.4481726699814317E-3</v>
      </c>
      <c r="G78" s="152"/>
      <c r="H78" s="153"/>
      <c r="I78" s="24">
        <f t="shared" si="33"/>
        <v>0</v>
      </c>
      <c r="J78" s="152"/>
      <c r="K78" s="153"/>
      <c r="L78" s="24">
        <f t="shared" si="27"/>
        <v>0</v>
      </c>
      <c r="M78" s="152"/>
      <c r="N78" s="153"/>
      <c r="O78" s="25">
        <f t="shared" si="28"/>
        <v>0</v>
      </c>
      <c r="P78" s="22">
        <f t="shared" si="34"/>
        <v>3963.67</v>
      </c>
      <c r="Q78" s="23">
        <f t="shared" si="29"/>
        <v>3963.6744481726701</v>
      </c>
      <c r="R78" s="345">
        <f t="shared" si="30"/>
        <v>-4.4481726699814317E-3</v>
      </c>
      <c r="S78" s="361">
        <v>3964</v>
      </c>
      <c r="T78" s="362">
        <f t="shared" si="40"/>
        <v>0.32555182732994581</v>
      </c>
    </row>
    <row r="79" spans="1:20" ht="15.75" thickBot="1" x14ac:dyDescent="0.3">
      <c r="A79" s="668" t="s">
        <v>18</v>
      </c>
      <c r="B79" s="669"/>
      <c r="C79" s="670"/>
      <c r="D79" s="126">
        <f>D76+D75</f>
        <v>3963.67</v>
      </c>
      <c r="E79" s="126">
        <f>E76+E75</f>
        <v>3963.6744481726701</v>
      </c>
      <c r="F79" s="127">
        <f t="shared" si="32"/>
        <v>-4.4481726699814317E-3</v>
      </c>
      <c r="G79" s="126">
        <f>G76+G75</f>
        <v>0</v>
      </c>
      <c r="H79" s="128">
        <f>H76+H75</f>
        <v>0</v>
      </c>
      <c r="I79" s="127">
        <f t="shared" si="33"/>
        <v>0</v>
      </c>
      <c r="J79" s="126">
        <f>J76+J75</f>
        <v>0</v>
      </c>
      <c r="K79" s="128">
        <f>K76+K75</f>
        <v>609.79606894964149</v>
      </c>
      <c r="L79" s="127">
        <f t="shared" si="27"/>
        <v>-609.79606894964149</v>
      </c>
      <c r="M79" s="126">
        <f>M76+M75</f>
        <v>750</v>
      </c>
      <c r="N79" s="128">
        <f>N76+N75</f>
        <v>0</v>
      </c>
      <c r="O79" s="127">
        <f t="shared" si="28"/>
        <v>750</v>
      </c>
      <c r="P79" s="126">
        <f>P76+P75</f>
        <v>750</v>
      </c>
      <c r="Q79" s="128">
        <f>Q76+Q75</f>
        <v>4573.4705171223113</v>
      </c>
      <c r="R79" s="129">
        <f t="shared" si="30"/>
        <v>-3823.4705171223113</v>
      </c>
      <c r="S79" s="383">
        <f t="shared" ref="S79:T79" si="41">S76+S75</f>
        <v>4574</v>
      </c>
      <c r="T79" s="384">
        <f t="shared" si="41"/>
        <v>0.52948287768845148</v>
      </c>
    </row>
    <row r="80" spans="1:20" ht="15.75" thickBot="1" x14ac:dyDescent="0.3">
      <c r="A80" s="665" t="s">
        <v>19</v>
      </c>
      <c r="B80" s="666"/>
      <c r="C80" s="667"/>
      <c r="D80" s="139">
        <f>D74+D79</f>
        <v>16428.482499999998</v>
      </c>
      <c r="E80" s="139">
        <f>E74+E79</f>
        <v>13216.512667751089</v>
      </c>
      <c r="F80" s="140">
        <f t="shared" si="32"/>
        <v>3211.9698322489094</v>
      </c>
      <c r="G80" s="139">
        <f>G74+G79</f>
        <v>30080.912499999999</v>
      </c>
      <c r="H80" s="141">
        <f>H74+H79</f>
        <v>29742.384028221364</v>
      </c>
      <c r="I80" s="140">
        <f t="shared" si="33"/>
        <v>338.52847177863441</v>
      </c>
      <c r="J80" s="139">
        <f>J74+J79</f>
        <v>14716.512500000001</v>
      </c>
      <c r="K80" s="141">
        <f>K74+K79</f>
        <v>16515.692339589335</v>
      </c>
      <c r="L80" s="140">
        <f t="shared" si="27"/>
        <v>-1799.1798395893347</v>
      </c>
      <c r="M80" s="139">
        <f>M74+M79</f>
        <v>23477.762500000001</v>
      </c>
      <c r="N80" s="141">
        <f>N74+N79</f>
        <v>10890.040048356828</v>
      </c>
      <c r="O80" s="140">
        <f t="shared" si="28"/>
        <v>12587.722451643172</v>
      </c>
      <c r="P80" s="139">
        <f>P74+P79</f>
        <v>80740</v>
      </c>
      <c r="Q80" s="141">
        <f>Q74+Q79</f>
        <v>70364.629083918626</v>
      </c>
      <c r="R80" s="142">
        <f t="shared" si="30"/>
        <v>10375.370916081374</v>
      </c>
      <c r="S80" s="385">
        <f t="shared" ref="S80:T80" si="42">S74+S79</f>
        <v>70364</v>
      </c>
      <c r="T80" s="386">
        <f t="shared" si="42"/>
        <v>-0.62908391861178359</v>
      </c>
    </row>
    <row r="81" spans="1:18" x14ac:dyDescent="0.25">
      <c r="A81" s="154"/>
      <c r="B81" s="154"/>
      <c r="C81" s="155"/>
      <c r="D81" s="156"/>
      <c r="E81" s="157"/>
      <c r="F81" s="156"/>
      <c r="G81" s="156"/>
      <c r="H81" s="157"/>
      <c r="I81" s="156"/>
      <c r="J81" s="156"/>
      <c r="K81" s="157"/>
      <c r="L81" s="156"/>
      <c r="M81" s="156"/>
      <c r="N81" s="156"/>
      <c r="O81" s="156"/>
      <c r="P81" s="158">
        <v>0</v>
      </c>
      <c r="Q81" s="159"/>
      <c r="R81" s="158"/>
    </row>
    <row r="82" spans="1:18" x14ac:dyDescent="0.25">
      <c r="E82" s="172"/>
      <c r="H82" s="172">
        <f>E80+H80+K80</f>
        <v>59474.589035561788</v>
      </c>
      <c r="J82" s="2">
        <v>655.95699999999999</v>
      </c>
    </row>
    <row r="83" spans="1:18" x14ac:dyDescent="0.25">
      <c r="H83" s="172"/>
    </row>
    <row r="84" spans="1:18" x14ac:dyDescent="0.25">
      <c r="H84" s="172"/>
      <c r="J84" s="172"/>
      <c r="P84" s="181"/>
    </row>
    <row r="85" spans="1:18" x14ac:dyDescent="0.25">
      <c r="E85" s="172"/>
      <c r="J85" s="172"/>
      <c r="P85" s="181"/>
    </row>
    <row r="86" spans="1:18" x14ac:dyDescent="0.25">
      <c r="P86" s="181"/>
    </row>
    <row r="87" spans="1:18" x14ac:dyDescent="0.25">
      <c r="J87" s="172"/>
      <c r="P87" s="181"/>
    </row>
    <row r="88" spans="1:18" x14ac:dyDescent="0.25">
      <c r="P88" s="181"/>
    </row>
    <row r="89" spans="1:18" x14ac:dyDescent="0.25">
      <c r="P89" s="182"/>
    </row>
    <row r="90" spans="1:18" x14ac:dyDescent="0.25">
      <c r="H90" s="172"/>
      <c r="I90" s="172"/>
      <c r="J90" s="172"/>
      <c r="P90" s="182"/>
    </row>
    <row r="91" spans="1:18" x14ac:dyDescent="0.25">
      <c r="H91" s="172"/>
      <c r="I91" s="487"/>
      <c r="J91" s="172"/>
    </row>
  </sheetData>
  <mergeCells count="59">
    <mergeCell ref="B31:B33"/>
    <mergeCell ref="B36:B38"/>
    <mergeCell ref="A22:A25"/>
    <mergeCell ref="A17:A20"/>
    <mergeCell ref="A31:A33"/>
    <mergeCell ref="A36:A38"/>
    <mergeCell ref="A28:C28"/>
    <mergeCell ref="A1:R1"/>
    <mergeCell ref="A2:R2"/>
    <mergeCell ref="D67:R67"/>
    <mergeCell ref="A5:R5"/>
    <mergeCell ref="A4:R4"/>
    <mergeCell ref="A3:R3"/>
    <mergeCell ref="P9:R9"/>
    <mergeCell ref="A11:C11"/>
    <mergeCell ref="A27:C27"/>
    <mergeCell ref="D11:R11"/>
    <mergeCell ref="A6:B6"/>
    <mergeCell ref="A7:B7"/>
    <mergeCell ref="D8:R8"/>
    <mergeCell ref="M9:O9"/>
    <mergeCell ref="J9:L9"/>
    <mergeCell ref="D28:R28"/>
    <mergeCell ref="D40:R40"/>
    <mergeCell ref="D46:R46"/>
    <mergeCell ref="D57:R57"/>
    <mergeCell ref="B9:B10"/>
    <mergeCell ref="C9:C10"/>
    <mergeCell ref="D9:F9"/>
    <mergeCell ref="G9:I9"/>
    <mergeCell ref="A55:C55"/>
    <mergeCell ref="A39:C39"/>
    <mergeCell ref="A40:C40"/>
    <mergeCell ref="A45:C45"/>
    <mergeCell ref="A46:C46"/>
    <mergeCell ref="B49:B51"/>
    <mergeCell ref="A9:A10"/>
    <mergeCell ref="B17:B20"/>
    <mergeCell ref="B22:B25"/>
    <mergeCell ref="A49:A51"/>
    <mergeCell ref="A80:C80"/>
    <mergeCell ref="A79:C79"/>
    <mergeCell ref="A74:C74"/>
    <mergeCell ref="A56:C56"/>
    <mergeCell ref="A57:C57"/>
    <mergeCell ref="A66:C66"/>
    <mergeCell ref="A72:C72"/>
    <mergeCell ref="A67:C67"/>
    <mergeCell ref="A75:C75"/>
    <mergeCell ref="A76:C76"/>
    <mergeCell ref="A73:C73"/>
    <mergeCell ref="S67:T67"/>
    <mergeCell ref="S11:T11"/>
    <mergeCell ref="S28:T28"/>
    <mergeCell ref="S40:T40"/>
    <mergeCell ref="S46:T46"/>
    <mergeCell ref="S57:T57"/>
    <mergeCell ref="S31:S33"/>
    <mergeCell ref="T31:T33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71"/>
  <sheetViews>
    <sheetView topLeftCell="E139" workbookViewId="0">
      <selection activeCell="K152" sqref="K152"/>
    </sheetView>
  </sheetViews>
  <sheetFormatPr baseColWidth="10" defaultColWidth="9.140625" defaultRowHeight="15" x14ac:dyDescent="0.25"/>
  <cols>
    <col min="1" max="1" width="11" style="1" customWidth="1"/>
    <col min="2" max="2" width="28.28515625" style="1" customWidth="1"/>
    <col min="3" max="3" width="9.85546875" style="1" customWidth="1"/>
    <col min="4" max="4" width="15" style="1" customWidth="1"/>
    <col min="5" max="5" width="13.140625" style="1" customWidth="1"/>
    <col min="6" max="7" width="10.85546875" style="1" customWidth="1"/>
    <col min="8" max="8" width="11.85546875" style="303" customWidth="1"/>
    <col min="9" max="9" width="62.28515625" style="1" customWidth="1"/>
    <col min="10" max="10" width="16.85546875" style="1" customWidth="1"/>
    <col min="11" max="11" width="15" style="1" customWidth="1"/>
    <col min="12" max="12" width="12.42578125" style="1" customWidth="1"/>
    <col min="13" max="13" width="14.42578125" style="1" customWidth="1"/>
    <col min="14" max="14" width="16.42578125" style="1" customWidth="1"/>
    <col min="15" max="15" width="14.42578125" style="1" customWidth="1"/>
    <col min="16" max="16384" width="9.140625" style="1"/>
  </cols>
  <sheetData>
    <row r="1" spans="1:17" ht="20.25" x14ac:dyDescent="0.25">
      <c r="A1" s="710" t="s">
        <v>208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230"/>
      <c r="Q1" s="230"/>
    </row>
    <row r="2" spans="1:17" ht="20.25" x14ac:dyDescent="0.25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</row>
    <row r="3" spans="1:17" x14ac:dyDescent="0.25">
      <c r="A3" s="231" t="s">
        <v>209</v>
      </c>
      <c r="B3" s="232"/>
      <c r="C3" s="232"/>
      <c r="D3" s="232"/>
      <c r="E3" s="232"/>
      <c r="F3" s="232"/>
      <c r="G3" s="232"/>
      <c r="H3" s="233"/>
      <c r="I3" s="232"/>
      <c r="J3" s="232"/>
      <c r="K3" s="234"/>
      <c r="L3" s="235"/>
      <c r="M3" s="235"/>
      <c r="N3" s="235"/>
      <c r="O3" s="235"/>
    </row>
    <row r="4" spans="1:17" x14ac:dyDescent="0.25">
      <c r="A4" s="231" t="s">
        <v>210</v>
      </c>
      <c r="B4" s="232"/>
      <c r="C4" s="232"/>
      <c r="D4" s="232"/>
      <c r="E4" s="232"/>
      <c r="F4" s="232"/>
      <c r="G4" s="232"/>
      <c r="H4" s="233"/>
      <c r="I4" s="232"/>
      <c r="J4" s="232"/>
      <c r="K4" s="234"/>
      <c r="L4" s="235"/>
      <c r="M4" s="235"/>
      <c r="N4" s="235"/>
      <c r="O4" s="235"/>
    </row>
    <row r="5" spans="1:17" x14ac:dyDescent="0.25">
      <c r="A5" s="231" t="s">
        <v>211</v>
      </c>
      <c r="B5" s="232"/>
      <c r="C5" s="232"/>
      <c r="D5" s="232"/>
      <c r="E5" s="232"/>
      <c r="F5" s="232"/>
      <c r="G5" s="232"/>
      <c r="H5" s="233"/>
      <c r="I5" s="232"/>
      <c r="J5" s="236"/>
      <c r="K5" s="237"/>
      <c r="L5" s="235"/>
      <c r="M5" s="235"/>
      <c r="N5" s="235"/>
      <c r="O5" s="235"/>
    </row>
    <row r="6" spans="1:17" x14ac:dyDescent="0.25">
      <c r="A6" s="239" t="s">
        <v>212</v>
      </c>
      <c r="B6" s="233"/>
      <c r="C6" s="233"/>
      <c r="D6" s="866" t="s">
        <v>213</v>
      </c>
      <c r="E6" s="866"/>
      <c r="F6" s="233"/>
      <c r="G6" s="233"/>
      <c r="H6" s="233"/>
      <c r="I6" s="233"/>
      <c r="J6" s="240"/>
      <c r="K6" s="241" t="s">
        <v>214</v>
      </c>
      <c r="L6" s="235"/>
      <c r="M6" s="235"/>
      <c r="N6" s="235"/>
      <c r="O6" s="235"/>
    </row>
    <row r="7" spans="1:17" x14ac:dyDescent="0.25">
      <c r="A7" s="243" t="s">
        <v>141</v>
      </c>
      <c r="B7" s="243" t="s">
        <v>51</v>
      </c>
      <c r="C7" s="243" t="s">
        <v>215</v>
      </c>
      <c r="D7" s="244" t="s">
        <v>241</v>
      </c>
      <c r="E7" s="243" t="s">
        <v>217</v>
      </c>
      <c r="F7" s="398" t="s">
        <v>141</v>
      </c>
      <c r="G7" s="245" t="s">
        <v>218</v>
      </c>
      <c r="H7" s="393" t="s">
        <v>219</v>
      </c>
      <c r="I7" s="243" t="s">
        <v>220</v>
      </c>
      <c r="J7" s="243" t="s">
        <v>221</v>
      </c>
      <c r="K7" s="243" t="s">
        <v>214</v>
      </c>
      <c r="L7" s="235"/>
      <c r="M7" s="235"/>
      <c r="N7" s="235"/>
      <c r="O7" s="235"/>
    </row>
    <row r="8" spans="1:17" x14ac:dyDescent="0.25">
      <c r="A8" s="246"/>
      <c r="B8" s="246"/>
      <c r="C8" s="247"/>
      <c r="D8" s="248"/>
      <c r="E8" s="249"/>
      <c r="F8" s="399"/>
      <c r="G8" s="250" t="s">
        <v>148</v>
      </c>
      <c r="H8" s="394" t="s">
        <v>223</v>
      </c>
      <c r="I8" s="247"/>
      <c r="J8" s="247" t="s">
        <v>224</v>
      </c>
      <c r="K8" s="247"/>
      <c r="L8" s="235"/>
      <c r="M8" s="235"/>
      <c r="N8" s="235"/>
      <c r="O8" s="235"/>
    </row>
    <row r="9" spans="1:17" x14ac:dyDescent="0.25">
      <c r="A9" s="283">
        <v>43839</v>
      </c>
      <c r="B9" s="246" t="s">
        <v>231</v>
      </c>
      <c r="C9" s="247">
        <v>1</v>
      </c>
      <c r="D9" s="248">
        <v>1844997</v>
      </c>
      <c r="E9" s="249"/>
      <c r="F9" s="400"/>
      <c r="G9" s="247"/>
      <c r="H9" s="394"/>
      <c r="I9" s="246"/>
      <c r="J9" s="247"/>
      <c r="K9" s="204"/>
      <c r="L9" s="235"/>
      <c r="M9" s="235"/>
      <c r="N9" s="235"/>
      <c r="O9" s="235"/>
    </row>
    <row r="10" spans="1:17" x14ac:dyDescent="0.25">
      <c r="A10" s="283">
        <v>43878</v>
      </c>
      <c r="B10" s="246" t="s">
        <v>232</v>
      </c>
      <c r="C10" s="247">
        <v>2</v>
      </c>
      <c r="D10" s="248">
        <v>10161259</v>
      </c>
      <c r="E10" s="249"/>
      <c r="F10" s="400"/>
      <c r="G10" s="247"/>
      <c r="H10" s="394"/>
      <c r="I10" s="246"/>
      <c r="J10" s="247"/>
      <c r="K10" s="211"/>
      <c r="L10" s="235"/>
      <c r="M10" s="235"/>
      <c r="N10" s="235"/>
      <c r="O10" s="235"/>
    </row>
    <row r="11" spans="1:17" ht="15" customHeight="1" x14ac:dyDescent="0.25">
      <c r="A11" s="283">
        <v>43943</v>
      </c>
      <c r="B11" s="246" t="s">
        <v>267</v>
      </c>
      <c r="C11" s="247">
        <v>3</v>
      </c>
      <c r="D11" s="248">
        <v>17588260</v>
      </c>
      <c r="E11" s="249"/>
      <c r="F11" s="401">
        <v>43855</v>
      </c>
      <c r="G11" s="284">
        <v>1445722</v>
      </c>
      <c r="H11" s="304" t="s">
        <v>95</v>
      </c>
      <c r="I11" s="210" t="s">
        <v>178</v>
      </c>
      <c r="J11" s="286"/>
      <c r="K11" s="211">
        <v>175000</v>
      </c>
      <c r="L11" s="878" t="s">
        <v>485</v>
      </c>
      <c r="M11" s="879"/>
      <c r="N11" s="879"/>
      <c r="O11" s="879"/>
    </row>
    <row r="12" spans="1:17" ht="15" customHeight="1" x14ac:dyDescent="0.25">
      <c r="A12" s="246"/>
      <c r="B12" s="246"/>
      <c r="C12" s="247"/>
      <c r="D12" s="248"/>
      <c r="E12" s="249"/>
      <c r="F12" s="401">
        <v>43855</v>
      </c>
      <c r="G12" s="284">
        <v>1445727</v>
      </c>
      <c r="H12" s="304" t="s">
        <v>109</v>
      </c>
      <c r="I12" s="210" t="s">
        <v>179</v>
      </c>
      <c r="J12" s="286"/>
      <c r="K12" s="316">
        <v>150000</v>
      </c>
      <c r="L12" s="869" t="s">
        <v>225</v>
      </c>
      <c r="M12" s="870"/>
      <c r="N12" s="870"/>
      <c r="O12" s="262">
        <v>255591</v>
      </c>
    </row>
    <row r="13" spans="1:17" ht="15" customHeight="1" x14ac:dyDescent="0.25">
      <c r="A13" s="246"/>
      <c r="B13" s="246"/>
      <c r="C13" s="247"/>
      <c r="D13" s="248"/>
      <c r="E13" s="249"/>
      <c r="F13" s="401">
        <v>43855</v>
      </c>
      <c r="G13" s="284">
        <v>1445725</v>
      </c>
      <c r="H13" s="395"/>
      <c r="I13" s="210" t="s">
        <v>247</v>
      </c>
      <c r="J13" s="286"/>
      <c r="K13" s="287">
        <v>400000</v>
      </c>
      <c r="L13" s="871" t="s">
        <v>226</v>
      </c>
      <c r="M13" s="872"/>
      <c r="N13" s="600"/>
      <c r="O13" s="263"/>
    </row>
    <row r="14" spans="1:17" x14ac:dyDescent="0.25">
      <c r="A14" s="246"/>
      <c r="B14" s="246"/>
      <c r="C14" s="247"/>
      <c r="D14" s="248"/>
      <c r="E14" s="249">
        <f>SUM(K11:K21)</f>
        <v>1816238</v>
      </c>
      <c r="F14" s="402">
        <v>43855</v>
      </c>
      <c r="G14" s="293">
        <v>1445726</v>
      </c>
      <c r="H14" s="395"/>
      <c r="I14" s="294" t="s">
        <v>180</v>
      </c>
      <c r="J14" s="286"/>
      <c r="K14" s="211">
        <v>160000</v>
      </c>
      <c r="L14" s="869"/>
      <c r="M14" s="870"/>
      <c r="N14" s="262"/>
      <c r="O14" s="263">
        <f>N14</f>
        <v>0</v>
      </c>
    </row>
    <row r="15" spans="1:17" ht="15" customHeight="1" x14ac:dyDescent="0.25">
      <c r="A15" s="246"/>
      <c r="B15" s="246"/>
      <c r="C15" s="247"/>
      <c r="D15" s="248"/>
      <c r="E15" s="249">
        <f>D9-E14</f>
        <v>28759</v>
      </c>
      <c r="F15" s="401">
        <v>43855</v>
      </c>
      <c r="G15" s="284">
        <v>1445721</v>
      </c>
      <c r="H15" s="304" t="s">
        <v>95</v>
      </c>
      <c r="I15" s="210" t="s">
        <v>181</v>
      </c>
      <c r="J15" s="286"/>
      <c r="K15" s="211">
        <v>175000</v>
      </c>
      <c r="L15" s="869" t="s">
        <v>227</v>
      </c>
      <c r="M15" s="870"/>
      <c r="N15" s="262"/>
      <c r="O15" s="263"/>
    </row>
    <row r="16" spans="1:17" x14ac:dyDescent="0.25">
      <c r="A16" s="246"/>
      <c r="B16" s="246"/>
      <c r="C16" s="247"/>
      <c r="D16" s="248"/>
      <c r="E16" s="249"/>
      <c r="F16" s="401">
        <v>43855</v>
      </c>
      <c r="G16" s="284">
        <v>1445724</v>
      </c>
      <c r="H16" s="304" t="s">
        <v>110</v>
      </c>
      <c r="I16" s="210" t="s">
        <v>182</v>
      </c>
      <c r="J16" s="286"/>
      <c r="K16" s="287">
        <v>27632</v>
      </c>
      <c r="L16" s="869" t="s">
        <v>474</v>
      </c>
      <c r="M16" s="870"/>
      <c r="N16" s="617">
        <v>27632</v>
      </c>
      <c r="O16" s="263"/>
    </row>
    <row r="17" spans="1:15" x14ac:dyDescent="0.25">
      <c r="A17" s="246"/>
      <c r="B17" s="246"/>
      <c r="C17" s="247"/>
      <c r="D17" s="248"/>
      <c r="E17" s="249"/>
      <c r="F17" s="401">
        <v>43855</v>
      </c>
      <c r="G17" s="284">
        <v>1445723</v>
      </c>
      <c r="H17" s="304" t="s">
        <v>257</v>
      </c>
      <c r="I17" s="210" t="s">
        <v>183</v>
      </c>
      <c r="J17" s="286"/>
      <c r="K17" s="287">
        <v>49200</v>
      </c>
      <c r="L17" s="869" t="s">
        <v>475</v>
      </c>
      <c r="M17" s="870"/>
      <c r="N17" s="617">
        <v>49200</v>
      </c>
      <c r="O17" s="263"/>
    </row>
    <row r="18" spans="1:15" x14ac:dyDescent="0.25">
      <c r="A18" s="246"/>
      <c r="B18" s="246"/>
      <c r="C18" s="247"/>
      <c r="D18" s="248"/>
      <c r="E18" s="249"/>
      <c r="F18" s="401">
        <v>43855</v>
      </c>
      <c r="G18" s="209" t="s">
        <v>187</v>
      </c>
      <c r="H18" s="395" t="s">
        <v>257</v>
      </c>
      <c r="I18" s="210" t="s">
        <v>186</v>
      </c>
      <c r="J18" s="286"/>
      <c r="K18" s="287">
        <v>658246</v>
      </c>
      <c r="L18" s="869"/>
      <c r="M18" s="870"/>
      <c r="N18" s="262"/>
      <c r="O18" s="263"/>
    </row>
    <row r="19" spans="1:15" x14ac:dyDescent="0.25">
      <c r="A19" s="246"/>
      <c r="B19" s="246"/>
      <c r="C19" s="247"/>
      <c r="D19" s="248"/>
      <c r="E19" s="249"/>
      <c r="F19" s="401">
        <v>43860</v>
      </c>
      <c r="G19" s="222"/>
      <c r="H19" s="304" t="s">
        <v>108</v>
      </c>
      <c r="I19" s="210" t="s">
        <v>248</v>
      </c>
      <c r="J19" s="286"/>
      <c r="K19" s="287">
        <v>15210</v>
      </c>
      <c r="L19" s="869"/>
      <c r="M19" s="870"/>
      <c r="N19" s="262"/>
      <c r="O19" s="263"/>
    </row>
    <row r="20" spans="1:15" x14ac:dyDescent="0.25">
      <c r="A20" s="246"/>
      <c r="B20" s="246"/>
      <c r="C20" s="247"/>
      <c r="D20" s="248"/>
      <c r="E20" s="249"/>
      <c r="F20" s="401">
        <v>43860</v>
      </c>
      <c r="G20" s="222"/>
      <c r="H20" s="304" t="s">
        <v>108</v>
      </c>
      <c r="I20" s="210" t="s">
        <v>249</v>
      </c>
      <c r="J20" s="286"/>
      <c r="K20" s="287">
        <v>5850</v>
      </c>
      <c r="L20" s="268"/>
      <c r="M20" s="603"/>
      <c r="N20" s="269"/>
      <c r="O20" s="270">
        <f>SUM(N16:N20)</f>
        <v>76832</v>
      </c>
    </row>
    <row r="21" spans="1:15" ht="15.75" customHeight="1" thickBot="1" x14ac:dyDescent="0.3">
      <c r="A21" s="246"/>
      <c r="B21" s="246"/>
      <c r="C21" s="247"/>
      <c r="D21" s="248"/>
      <c r="E21" s="249"/>
      <c r="F21" s="403">
        <v>43860</v>
      </c>
      <c r="G21" s="320"/>
      <c r="H21" s="321" t="s">
        <v>108</v>
      </c>
      <c r="I21" s="322" t="s">
        <v>250</v>
      </c>
      <c r="J21" s="323"/>
      <c r="K21" s="324">
        <v>100</v>
      </c>
      <c r="L21" s="876" t="s">
        <v>229</v>
      </c>
      <c r="M21" s="877"/>
      <c r="N21" s="877"/>
      <c r="O21" s="271">
        <f>O12-N16-N17</f>
        <v>178759</v>
      </c>
    </row>
    <row r="22" spans="1:15" ht="15.75" thickTop="1" x14ac:dyDescent="0.25">
      <c r="A22" s="246"/>
      <c r="B22" s="246"/>
      <c r="C22" s="247"/>
      <c r="D22" s="248"/>
      <c r="E22" s="249"/>
      <c r="F22" s="404">
        <v>43887</v>
      </c>
      <c r="G22" s="317">
        <v>1445733</v>
      </c>
      <c r="H22" s="396" t="s">
        <v>95</v>
      </c>
      <c r="I22" s="318" t="s">
        <v>188</v>
      </c>
      <c r="J22" s="286"/>
      <c r="K22" s="319">
        <v>175000</v>
      </c>
      <c r="L22" s="292"/>
      <c r="M22" s="235"/>
      <c r="N22" s="235"/>
      <c r="O22" s="235"/>
    </row>
    <row r="23" spans="1:15" ht="15" customHeight="1" x14ac:dyDescent="0.25">
      <c r="A23" s="246"/>
      <c r="B23" s="246"/>
      <c r="C23" s="247"/>
      <c r="D23" s="248"/>
      <c r="E23" s="249"/>
      <c r="F23" s="405">
        <v>43887</v>
      </c>
      <c r="G23" s="284">
        <v>1445734</v>
      </c>
      <c r="H23" s="304" t="s">
        <v>95</v>
      </c>
      <c r="I23" s="210" t="s">
        <v>189</v>
      </c>
      <c r="J23" s="286"/>
      <c r="K23" s="211">
        <v>175000</v>
      </c>
      <c r="L23" s="878" t="s">
        <v>484</v>
      </c>
      <c r="M23" s="879"/>
      <c r="N23" s="879"/>
      <c r="O23" s="879"/>
    </row>
    <row r="24" spans="1:15" ht="15" customHeight="1" x14ac:dyDescent="0.25">
      <c r="A24" s="246"/>
      <c r="B24" s="246"/>
      <c r="C24" s="247"/>
      <c r="D24" s="248"/>
      <c r="E24" s="249"/>
      <c r="F24" s="406">
        <v>43887</v>
      </c>
      <c r="G24" s="284">
        <v>1445738</v>
      </c>
      <c r="H24" s="304" t="s">
        <v>109</v>
      </c>
      <c r="I24" s="285" t="s">
        <v>190</v>
      </c>
      <c r="J24" s="286"/>
      <c r="K24" s="287">
        <v>150000</v>
      </c>
      <c r="L24" s="869" t="s">
        <v>225</v>
      </c>
      <c r="M24" s="870"/>
      <c r="N24" s="870"/>
      <c r="O24" s="262">
        <v>10174808</v>
      </c>
    </row>
    <row r="25" spans="1:15" ht="15" customHeight="1" x14ac:dyDescent="0.25">
      <c r="A25" s="246"/>
      <c r="B25" s="246"/>
      <c r="C25" s="247"/>
      <c r="D25" s="248"/>
      <c r="E25" s="249"/>
      <c r="F25" s="406">
        <v>43887</v>
      </c>
      <c r="G25" s="284">
        <v>1445739</v>
      </c>
      <c r="H25" s="226" t="s">
        <v>39</v>
      </c>
      <c r="I25" s="285" t="s">
        <v>191</v>
      </c>
      <c r="J25" s="286"/>
      <c r="K25" s="287">
        <v>39500</v>
      </c>
      <c r="L25" s="871" t="s">
        <v>226</v>
      </c>
      <c r="M25" s="872"/>
      <c r="N25" s="600"/>
      <c r="O25" s="263"/>
    </row>
    <row r="26" spans="1:15" x14ac:dyDescent="0.25">
      <c r="A26" s="246"/>
      <c r="B26" s="246"/>
      <c r="C26" s="247"/>
      <c r="D26" s="248"/>
      <c r="E26" s="249"/>
      <c r="F26" s="405">
        <v>43887</v>
      </c>
      <c r="G26" s="284">
        <v>1445737</v>
      </c>
      <c r="H26" s="304" t="s">
        <v>110</v>
      </c>
      <c r="I26" s="210" t="s">
        <v>202</v>
      </c>
      <c r="J26" s="286"/>
      <c r="K26" s="287">
        <v>27632</v>
      </c>
      <c r="L26" s="869"/>
      <c r="M26" s="870"/>
      <c r="N26" s="262"/>
      <c r="O26" s="263">
        <f>N26</f>
        <v>0</v>
      </c>
    </row>
    <row r="27" spans="1:15" ht="15" customHeight="1" x14ac:dyDescent="0.25">
      <c r="A27" s="246"/>
      <c r="B27" s="246"/>
      <c r="C27" s="247"/>
      <c r="D27" s="248"/>
      <c r="E27" s="249"/>
      <c r="F27" s="405">
        <v>43887</v>
      </c>
      <c r="G27" s="284">
        <v>1445736</v>
      </c>
      <c r="H27" s="304" t="s">
        <v>257</v>
      </c>
      <c r="I27" s="210" t="s">
        <v>203</v>
      </c>
      <c r="J27" s="286"/>
      <c r="K27" s="287">
        <v>49200</v>
      </c>
      <c r="L27" s="869" t="s">
        <v>227</v>
      </c>
      <c r="M27" s="870"/>
      <c r="N27" s="262"/>
      <c r="O27" s="263"/>
    </row>
    <row r="28" spans="1:15" x14ac:dyDescent="0.25">
      <c r="A28" s="246"/>
      <c r="B28" s="246"/>
      <c r="C28" s="247"/>
      <c r="D28" s="248"/>
      <c r="E28" s="249"/>
      <c r="F28" s="407">
        <v>43887</v>
      </c>
      <c r="G28" s="289">
        <v>1445728</v>
      </c>
      <c r="H28" s="395"/>
      <c r="I28" s="290" t="s">
        <v>194</v>
      </c>
      <c r="J28" s="286"/>
      <c r="K28" s="295">
        <v>200000</v>
      </c>
      <c r="L28" s="869" t="s">
        <v>476</v>
      </c>
      <c r="M28" s="870"/>
      <c r="N28" s="262">
        <v>2500000</v>
      </c>
      <c r="O28" s="263"/>
    </row>
    <row r="29" spans="1:15" x14ac:dyDescent="0.25">
      <c r="A29" s="246"/>
      <c r="B29" s="246"/>
      <c r="C29" s="247"/>
      <c r="D29" s="248"/>
      <c r="E29" s="249"/>
      <c r="F29" s="408">
        <v>43887</v>
      </c>
      <c r="G29" s="289">
        <v>1445729</v>
      </c>
      <c r="H29" s="395"/>
      <c r="I29" s="290" t="s">
        <v>144</v>
      </c>
      <c r="J29" s="286"/>
      <c r="K29" s="305">
        <v>612500</v>
      </c>
      <c r="L29" s="869" t="s">
        <v>477</v>
      </c>
      <c r="M29" s="870"/>
      <c r="N29" s="262">
        <v>27632</v>
      </c>
      <c r="O29" s="263"/>
    </row>
    <row r="30" spans="1:15" x14ac:dyDescent="0.25">
      <c r="A30" s="246"/>
      <c r="B30" s="246"/>
      <c r="C30" s="247"/>
      <c r="D30" s="248"/>
      <c r="E30" s="249"/>
      <c r="F30" s="409">
        <v>43887</v>
      </c>
      <c r="G30" s="289">
        <v>1445731</v>
      </c>
      <c r="H30" s="395"/>
      <c r="I30" s="290" t="s">
        <v>254</v>
      </c>
      <c r="J30" s="286"/>
      <c r="K30" s="305">
        <v>2500000</v>
      </c>
      <c r="L30" s="869" t="s">
        <v>473</v>
      </c>
      <c r="M30" s="870"/>
      <c r="N30" s="262">
        <v>49200</v>
      </c>
      <c r="O30" s="263"/>
    </row>
    <row r="31" spans="1:15" x14ac:dyDescent="0.25">
      <c r="A31" s="246"/>
      <c r="B31" s="246"/>
      <c r="C31" s="247"/>
      <c r="D31" s="248"/>
      <c r="E31" s="249"/>
      <c r="F31" s="409">
        <v>43887</v>
      </c>
      <c r="G31" s="289">
        <v>1445732</v>
      </c>
      <c r="H31" s="395"/>
      <c r="I31" s="290" t="s">
        <v>195</v>
      </c>
      <c r="J31" s="286"/>
      <c r="K31" s="305">
        <v>480000</v>
      </c>
      <c r="L31" s="869" t="s">
        <v>478</v>
      </c>
      <c r="M31" s="870"/>
      <c r="N31" s="262">
        <v>39500</v>
      </c>
      <c r="O31" s="263"/>
    </row>
    <row r="32" spans="1:15" x14ac:dyDescent="0.25">
      <c r="A32" s="246"/>
      <c r="B32" s="246"/>
      <c r="C32" s="247"/>
      <c r="D32" s="248"/>
      <c r="E32" s="249"/>
      <c r="F32" s="409">
        <v>43887</v>
      </c>
      <c r="G32" s="289">
        <v>1445730</v>
      </c>
      <c r="H32" s="395"/>
      <c r="I32" s="290" t="s">
        <v>145</v>
      </c>
      <c r="J32" s="286"/>
      <c r="K32" s="305">
        <v>150000</v>
      </c>
      <c r="L32" s="869" t="s">
        <v>479</v>
      </c>
      <c r="M32" s="870"/>
      <c r="N32" s="262">
        <v>175000</v>
      </c>
      <c r="O32" s="263"/>
    </row>
    <row r="33" spans="1:15" ht="15.75" customHeight="1" x14ac:dyDescent="0.25">
      <c r="A33" s="246"/>
      <c r="B33" s="246"/>
      <c r="C33" s="247"/>
      <c r="D33" s="248"/>
      <c r="E33" s="249"/>
      <c r="F33" s="409">
        <v>43887</v>
      </c>
      <c r="G33" s="209" t="s">
        <v>196</v>
      </c>
      <c r="H33" s="395" t="s">
        <v>257</v>
      </c>
      <c r="I33" s="210" t="s">
        <v>186</v>
      </c>
      <c r="J33" s="286"/>
      <c r="K33" s="287">
        <v>658246</v>
      </c>
      <c r="L33" s="869" t="s">
        <v>480</v>
      </c>
      <c r="M33" s="870"/>
      <c r="N33" s="262">
        <v>175000</v>
      </c>
      <c r="O33" s="263"/>
    </row>
    <row r="34" spans="1:15" ht="15.75" thickBot="1" x14ac:dyDescent="0.3">
      <c r="A34" s="246"/>
      <c r="B34" s="246"/>
      <c r="C34" s="247"/>
      <c r="D34" s="248"/>
      <c r="E34" s="249"/>
      <c r="F34" s="410">
        <v>43889</v>
      </c>
      <c r="G34" s="415"/>
      <c r="H34" s="321" t="s">
        <v>108</v>
      </c>
      <c r="I34" s="322" t="s">
        <v>233</v>
      </c>
      <c r="J34" s="323"/>
      <c r="K34" s="324">
        <v>15210</v>
      </c>
      <c r="L34" s="869" t="s">
        <v>481</v>
      </c>
      <c r="M34" s="870"/>
      <c r="N34" s="262">
        <v>150000</v>
      </c>
      <c r="O34" s="263"/>
    </row>
    <row r="35" spans="1:15" ht="15.75" customHeight="1" thickTop="1" x14ac:dyDescent="0.25">
      <c r="A35" s="246"/>
      <c r="B35" s="246"/>
      <c r="C35" s="247"/>
      <c r="D35" s="248"/>
      <c r="E35" s="249"/>
      <c r="F35" s="411">
        <v>43893</v>
      </c>
      <c r="G35" s="416"/>
      <c r="H35" s="396" t="s">
        <v>108</v>
      </c>
      <c r="I35" s="318" t="s">
        <v>242</v>
      </c>
      <c r="J35" s="286"/>
      <c r="K35" s="325">
        <v>5850</v>
      </c>
      <c r="L35" s="268"/>
      <c r="M35" s="603"/>
      <c r="N35" s="269"/>
      <c r="O35" s="270">
        <f>SUM(N28:N35)</f>
        <v>3116332</v>
      </c>
    </row>
    <row r="36" spans="1:15" ht="15" customHeight="1" thickBot="1" x14ac:dyDescent="0.3">
      <c r="A36" s="246"/>
      <c r="B36" s="246"/>
      <c r="C36" s="247"/>
      <c r="D36" s="248"/>
      <c r="E36" s="249"/>
      <c r="F36" s="409">
        <v>43894</v>
      </c>
      <c r="G36" s="417"/>
      <c r="H36" s="304" t="s">
        <v>108</v>
      </c>
      <c r="I36" s="210" t="s">
        <v>238</v>
      </c>
      <c r="J36" s="286"/>
      <c r="K36" s="287">
        <v>100</v>
      </c>
      <c r="L36" s="876" t="s">
        <v>229</v>
      </c>
      <c r="M36" s="877"/>
      <c r="N36" s="877"/>
      <c r="O36" s="271">
        <f>O24-O35</f>
        <v>7058476</v>
      </c>
    </row>
    <row r="37" spans="1:15" ht="15" customHeight="1" thickTop="1" x14ac:dyDescent="0.25">
      <c r="A37" s="246"/>
      <c r="B37" s="246"/>
      <c r="C37" s="247"/>
      <c r="D37" s="248"/>
      <c r="E37" s="249"/>
      <c r="F37" s="409">
        <v>43894</v>
      </c>
      <c r="G37" s="209">
        <v>1445740</v>
      </c>
      <c r="H37" s="395" t="s">
        <v>258</v>
      </c>
      <c r="I37" s="210" t="s">
        <v>246</v>
      </c>
      <c r="J37" s="286"/>
      <c r="K37" s="287">
        <v>2600000</v>
      </c>
      <c r="L37" s="618"/>
      <c r="M37" s="619"/>
      <c r="N37" s="620"/>
      <c r="O37" s="621"/>
    </row>
    <row r="38" spans="1:15" x14ac:dyDescent="0.25">
      <c r="A38" s="246"/>
      <c r="B38" s="246"/>
      <c r="C38" s="247"/>
      <c r="D38" s="248"/>
      <c r="E38" s="249"/>
      <c r="F38" s="409">
        <v>43899</v>
      </c>
      <c r="G38" s="209"/>
      <c r="H38" s="304" t="s">
        <v>108</v>
      </c>
      <c r="I38" s="210" t="s">
        <v>237</v>
      </c>
      <c r="J38" s="286"/>
      <c r="K38" s="287">
        <v>2500</v>
      </c>
      <c r="L38" s="878" t="s">
        <v>483</v>
      </c>
      <c r="M38" s="879"/>
      <c r="N38" s="879"/>
      <c r="O38" s="879"/>
    </row>
    <row r="39" spans="1:15" ht="15" customHeight="1" x14ac:dyDescent="0.25">
      <c r="A39" s="246"/>
      <c r="B39" s="246"/>
      <c r="C39" s="247"/>
      <c r="D39" s="248"/>
      <c r="E39" s="249"/>
      <c r="F39" s="412">
        <v>43914</v>
      </c>
      <c r="G39" s="289">
        <v>1445748</v>
      </c>
      <c r="H39" s="304" t="s">
        <v>95</v>
      </c>
      <c r="I39" s="291" t="s">
        <v>197</v>
      </c>
      <c r="J39" s="286"/>
      <c r="K39" s="291">
        <v>350000</v>
      </c>
      <c r="L39" s="869" t="s">
        <v>225</v>
      </c>
      <c r="M39" s="870"/>
      <c r="N39" s="870"/>
      <c r="O39" s="262">
        <v>803074</v>
      </c>
    </row>
    <row r="40" spans="1:15" x14ac:dyDescent="0.25">
      <c r="A40" s="246"/>
      <c r="B40" s="246"/>
      <c r="C40" s="247"/>
      <c r="D40" s="248"/>
      <c r="E40" s="249"/>
      <c r="F40" s="413">
        <v>43914</v>
      </c>
      <c r="G40" s="289">
        <v>1445747</v>
      </c>
      <c r="H40" s="304" t="s">
        <v>34</v>
      </c>
      <c r="I40" s="296" t="s">
        <v>198</v>
      </c>
      <c r="J40" s="286"/>
      <c r="K40" s="296">
        <v>300000</v>
      </c>
      <c r="L40" s="871" t="s">
        <v>226</v>
      </c>
      <c r="M40" s="872"/>
      <c r="N40" s="600"/>
      <c r="O40" s="263"/>
    </row>
    <row r="41" spans="1:15" x14ac:dyDescent="0.25">
      <c r="A41" s="246"/>
      <c r="B41" s="246"/>
      <c r="C41" s="247"/>
      <c r="D41" s="248"/>
      <c r="E41" s="249"/>
      <c r="F41" s="412">
        <v>43914</v>
      </c>
      <c r="G41" s="284">
        <v>1445741</v>
      </c>
      <c r="H41" s="304" t="s">
        <v>95</v>
      </c>
      <c r="I41" s="210" t="s">
        <v>199</v>
      </c>
      <c r="J41" s="286"/>
      <c r="K41" s="211">
        <v>175000</v>
      </c>
      <c r="L41" s="869"/>
      <c r="M41" s="870"/>
      <c r="N41" s="262"/>
      <c r="O41" s="263">
        <f>N41</f>
        <v>0</v>
      </c>
    </row>
    <row r="42" spans="1:15" x14ac:dyDescent="0.25">
      <c r="A42" s="246"/>
      <c r="B42" s="246"/>
      <c r="C42" s="247"/>
      <c r="D42" s="248"/>
      <c r="E42" s="249"/>
      <c r="F42" s="412">
        <v>43914</v>
      </c>
      <c r="G42" s="284">
        <v>1445746</v>
      </c>
      <c r="H42" s="395"/>
      <c r="I42" s="210" t="s">
        <v>200</v>
      </c>
      <c r="J42" s="286"/>
      <c r="K42" s="287">
        <v>150000</v>
      </c>
      <c r="L42" s="869" t="s">
        <v>227</v>
      </c>
      <c r="M42" s="870"/>
      <c r="N42" s="262"/>
      <c r="O42" s="263"/>
    </row>
    <row r="43" spans="1:15" x14ac:dyDescent="0.25">
      <c r="A43" s="246"/>
      <c r="B43" s="246"/>
      <c r="C43" s="247"/>
      <c r="D43" s="248"/>
      <c r="E43" s="249"/>
      <c r="F43" s="412">
        <v>43914</v>
      </c>
      <c r="G43" s="284">
        <v>1445742</v>
      </c>
      <c r="H43" s="304" t="s">
        <v>95</v>
      </c>
      <c r="I43" s="210" t="s">
        <v>201</v>
      </c>
      <c r="J43" s="286"/>
      <c r="K43" s="211">
        <v>175000</v>
      </c>
      <c r="L43" s="869" t="s">
        <v>352</v>
      </c>
      <c r="M43" s="870"/>
      <c r="N43" s="262">
        <f>-480000</f>
        <v>-480000</v>
      </c>
      <c r="O43" s="263"/>
    </row>
    <row r="44" spans="1:15" x14ac:dyDescent="0.25">
      <c r="A44" s="246"/>
      <c r="B44" s="246"/>
      <c r="C44" s="247"/>
      <c r="D44" s="248"/>
      <c r="E44" s="249"/>
      <c r="F44" s="412">
        <v>43914</v>
      </c>
      <c r="G44" s="284">
        <v>1445743</v>
      </c>
      <c r="H44" s="395" t="s">
        <v>110</v>
      </c>
      <c r="I44" s="210" t="s">
        <v>204</v>
      </c>
      <c r="J44" s="286"/>
      <c r="K44" s="287">
        <v>27632</v>
      </c>
      <c r="L44" s="869" t="s">
        <v>466</v>
      </c>
      <c r="M44" s="870"/>
      <c r="N44" s="262">
        <v>-27632</v>
      </c>
      <c r="O44" s="263"/>
    </row>
    <row r="45" spans="1:15" ht="15.75" customHeight="1" x14ac:dyDescent="0.25">
      <c r="A45" s="251"/>
      <c r="B45" s="252"/>
      <c r="C45" s="253"/>
      <c r="D45" s="254"/>
      <c r="E45" s="254"/>
      <c r="F45" s="412">
        <v>43914</v>
      </c>
      <c r="G45" s="284">
        <v>1445744</v>
      </c>
      <c r="H45" s="397" t="s">
        <v>257</v>
      </c>
      <c r="I45" s="210" t="s">
        <v>205</v>
      </c>
      <c r="J45" s="288"/>
      <c r="K45" s="287">
        <v>49200</v>
      </c>
      <c r="L45" s="869" t="s">
        <v>467</v>
      </c>
      <c r="M45" s="870"/>
      <c r="N45" s="262">
        <f>-49200</f>
        <v>-49200</v>
      </c>
      <c r="O45" s="263"/>
    </row>
    <row r="46" spans="1:15" x14ac:dyDescent="0.25">
      <c r="A46" s="255"/>
      <c r="B46" s="259"/>
      <c r="C46" s="253"/>
      <c r="D46" s="258"/>
      <c r="E46" s="254"/>
      <c r="F46" s="412">
        <v>43914</v>
      </c>
      <c r="G46" s="284">
        <v>1445745</v>
      </c>
      <c r="H46" s="304" t="s">
        <v>109</v>
      </c>
      <c r="I46" s="210" t="s">
        <v>206</v>
      </c>
      <c r="J46" s="288"/>
      <c r="K46" s="287">
        <v>150000</v>
      </c>
      <c r="L46" s="869"/>
      <c r="M46" s="870"/>
      <c r="N46" s="262"/>
      <c r="O46" s="263"/>
    </row>
    <row r="47" spans="1:15" x14ac:dyDescent="0.25">
      <c r="A47" s="255"/>
      <c r="B47" s="259"/>
      <c r="C47" s="253"/>
      <c r="D47" s="258"/>
      <c r="E47" s="258"/>
      <c r="F47" s="412">
        <v>43914</v>
      </c>
      <c r="G47" s="209" t="s">
        <v>207</v>
      </c>
      <c r="H47" s="397" t="s">
        <v>257</v>
      </c>
      <c r="I47" s="210" t="s">
        <v>186</v>
      </c>
      <c r="J47" s="288"/>
      <c r="K47" s="287">
        <v>658246</v>
      </c>
      <c r="L47" s="268"/>
      <c r="M47" s="603"/>
      <c r="N47" s="269"/>
      <c r="O47" s="270">
        <f>SUM(N43:N47)</f>
        <v>-556832</v>
      </c>
    </row>
    <row r="48" spans="1:15" ht="15.75" thickBot="1" x14ac:dyDescent="0.3">
      <c r="A48" s="255"/>
      <c r="B48" s="259"/>
      <c r="C48" s="253"/>
      <c r="D48" s="258"/>
      <c r="E48" s="258"/>
      <c r="F48" s="414">
        <v>43915</v>
      </c>
      <c r="G48" s="260"/>
      <c r="H48" s="304" t="s">
        <v>108</v>
      </c>
      <c r="I48" s="256" t="s">
        <v>243</v>
      </c>
      <c r="J48" s="257"/>
      <c r="K48" s="282">
        <v>5850</v>
      </c>
      <c r="L48" s="876" t="s">
        <v>229</v>
      </c>
      <c r="M48" s="877"/>
      <c r="N48" s="877"/>
      <c r="O48" s="271">
        <f>O39+O41+O47</f>
        <v>246242</v>
      </c>
    </row>
    <row r="49" spans="1:15" ht="15.75" thickTop="1" x14ac:dyDescent="0.25">
      <c r="A49" s="255"/>
      <c r="B49" s="259"/>
      <c r="C49" s="253"/>
      <c r="D49" s="258"/>
      <c r="E49" s="258"/>
      <c r="F49" s="414">
        <v>43916</v>
      </c>
      <c r="G49" s="260"/>
      <c r="H49" s="304" t="s">
        <v>108</v>
      </c>
      <c r="I49" s="256" t="s">
        <v>238</v>
      </c>
      <c r="J49" s="259"/>
      <c r="K49" s="258">
        <v>100</v>
      </c>
      <c r="L49" s="268"/>
      <c r="M49" s="603"/>
      <c r="N49" s="269"/>
      <c r="O49" s="270"/>
    </row>
    <row r="50" spans="1:15" x14ac:dyDescent="0.25">
      <c r="A50" s="255"/>
      <c r="B50" s="259"/>
      <c r="C50" s="253"/>
      <c r="D50" s="258"/>
      <c r="E50" s="258"/>
      <c r="F50" s="414">
        <v>43921</v>
      </c>
      <c r="G50" s="260"/>
      <c r="H50" s="304" t="s">
        <v>108</v>
      </c>
      <c r="I50" s="256" t="s">
        <v>244</v>
      </c>
      <c r="J50" s="257"/>
      <c r="K50" s="258">
        <v>15210</v>
      </c>
    </row>
    <row r="51" spans="1:15" x14ac:dyDescent="0.25">
      <c r="A51" s="255"/>
      <c r="B51" s="259"/>
      <c r="C51" s="253"/>
      <c r="D51" s="258"/>
      <c r="E51" s="258"/>
      <c r="F51" s="414">
        <v>43921</v>
      </c>
      <c r="G51" s="260"/>
      <c r="H51" s="304" t="s">
        <v>108</v>
      </c>
      <c r="I51" s="256" t="s">
        <v>245</v>
      </c>
      <c r="J51" s="257"/>
      <c r="K51" s="258">
        <v>46800</v>
      </c>
    </row>
    <row r="52" spans="1:15" ht="5.25" customHeight="1" x14ac:dyDescent="0.25">
      <c r="A52" s="255"/>
      <c r="B52" s="259"/>
      <c r="C52" s="253"/>
      <c r="D52" s="258"/>
      <c r="E52" s="258"/>
      <c r="F52" s="414"/>
      <c r="G52" s="260"/>
      <c r="H52" s="304"/>
      <c r="I52" s="256"/>
      <c r="J52" s="257"/>
      <c r="K52" s="258"/>
    </row>
    <row r="53" spans="1:15" x14ac:dyDescent="0.25">
      <c r="A53" s="255"/>
      <c r="B53" s="259"/>
      <c r="C53" s="253"/>
      <c r="D53" s="258"/>
      <c r="E53" s="258"/>
      <c r="F53" s="401">
        <v>43941</v>
      </c>
      <c r="G53" s="286">
        <v>252726</v>
      </c>
      <c r="H53" s="419" t="s">
        <v>95</v>
      </c>
      <c r="I53" s="210" t="s">
        <v>297</v>
      </c>
      <c r="J53" s="286"/>
      <c r="K53" s="211">
        <v>36842</v>
      </c>
    </row>
    <row r="54" spans="1:15" x14ac:dyDescent="0.25">
      <c r="A54" s="255"/>
      <c r="B54" s="259"/>
      <c r="C54" s="253"/>
      <c r="D54" s="258"/>
      <c r="E54" s="258"/>
      <c r="F54" s="401">
        <v>43941</v>
      </c>
      <c r="G54" s="209">
        <v>2524731</v>
      </c>
      <c r="H54" s="419" t="s">
        <v>95</v>
      </c>
      <c r="I54" s="526" t="s">
        <v>276</v>
      </c>
      <c r="J54" s="527"/>
      <c r="K54" s="532">
        <v>175000</v>
      </c>
    </row>
    <row r="55" spans="1:15" x14ac:dyDescent="0.25">
      <c r="A55" s="255"/>
      <c r="B55" s="259"/>
      <c r="C55" s="253"/>
      <c r="D55" s="258"/>
      <c r="E55" s="258"/>
      <c r="F55" s="401">
        <v>43942</v>
      </c>
      <c r="G55" s="209">
        <v>2524730</v>
      </c>
      <c r="H55" s="528" t="s">
        <v>34</v>
      </c>
      <c r="I55" s="210" t="s">
        <v>275</v>
      </c>
      <c r="J55" s="286"/>
      <c r="K55" s="211">
        <v>350000</v>
      </c>
      <c r="L55" s="474"/>
      <c r="M55" s="475"/>
      <c r="N55" s="262"/>
      <c r="O55" s="263"/>
    </row>
    <row r="56" spans="1:15" x14ac:dyDescent="0.25">
      <c r="A56" s="255"/>
      <c r="B56" s="259"/>
      <c r="C56" s="253"/>
      <c r="D56" s="258"/>
      <c r="E56" s="258"/>
      <c r="F56" s="401">
        <v>43943</v>
      </c>
      <c r="G56" s="284">
        <v>1445749</v>
      </c>
      <c r="H56" s="478" t="s">
        <v>95</v>
      </c>
      <c r="I56" s="210" t="s">
        <v>270</v>
      </c>
      <c r="J56" s="286"/>
      <c r="K56" s="211">
        <v>175000</v>
      </c>
      <c r="L56" s="878" t="s">
        <v>468</v>
      </c>
      <c r="M56" s="879"/>
      <c r="N56" s="879"/>
      <c r="O56" s="879"/>
    </row>
    <row r="57" spans="1:15" x14ac:dyDescent="0.25">
      <c r="A57" s="255"/>
      <c r="B57" s="259"/>
      <c r="C57" s="253"/>
      <c r="D57" s="258"/>
      <c r="E57" s="258"/>
      <c r="F57" s="401">
        <v>43943</v>
      </c>
      <c r="G57" s="284">
        <v>1445750</v>
      </c>
      <c r="H57" s="395" t="s">
        <v>95</v>
      </c>
      <c r="I57" s="210" t="s">
        <v>271</v>
      </c>
      <c r="J57" s="286"/>
      <c r="K57" s="211">
        <v>175000</v>
      </c>
      <c r="L57" s="869" t="s">
        <v>225</v>
      </c>
      <c r="M57" s="870"/>
      <c r="N57" s="870"/>
      <c r="O57" s="262"/>
    </row>
    <row r="58" spans="1:15" x14ac:dyDescent="0.25">
      <c r="A58" s="255"/>
      <c r="B58" s="259"/>
      <c r="C58" s="253"/>
      <c r="D58" s="258"/>
      <c r="E58" s="258"/>
      <c r="F58" s="401">
        <v>43943</v>
      </c>
      <c r="G58" s="284">
        <v>2524728</v>
      </c>
      <c r="H58" s="481" t="s">
        <v>109</v>
      </c>
      <c r="I58" s="210" t="s">
        <v>273</v>
      </c>
      <c r="J58" s="286"/>
      <c r="K58" s="211">
        <v>150000</v>
      </c>
      <c r="L58" s="871" t="s">
        <v>226</v>
      </c>
      <c r="M58" s="872"/>
      <c r="N58" s="600"/>
      <c r="O58" s="263"/>
    </row>
    <row r="59" spans="1:15" x14ac:dyDescent="0.25">
      <c r="A59" s="255"/>
      <c r="B59" s="259"/>
      <c r="C59" s="253"/>
      <c r="D59" s="258"/>
      <c r="E59" s="258"/>
      <c r="F59" s="401">
        <v>43944</v>
      </c>
      <c r="G59" s="284">
        <v>2524729</v>
      </c>
      <c r="H59" s="481"/>
      <c r="I59" s="210" t="s">
        <v>274</v>
      </c>
      <c r="J59" s="286"/>
      <c r="K59" s="211">
        <v>150000</v>
      </c>
      <c r="L59" s="869" t="s">
        <v>227</v>
      </c>
      <c r="M59" s="870"/>
      <c r="N59" s="262"/>
      <c r="O59" s="263"/>
    </row>
    <row r="60" spans="1:15" x14ac:dyDescent="0.25">
      <c r="A60" s="255"/>
      <c r="B60" s="259"/>
      <c r="C60" s="253"/>
      <c r="D60" s="258"/>
      <c r="E60" s="258"/>
      <c r="F60" s="401">
        <v>43944</v>
      </c>
      <c r="G60" s="209">
        <v>2524732</v>
      </c>
      <c r="H60" s="528" t="s">
        <v>277</v>
      </c>
      <c r="I60" s="210" t="s">
        <v>278</v>
      </c>
      <c r="J60" s="286"/>
      <c r="K60" s="211">
        <v>4450000</v>
      </c>
      <c r="L60" s="869" t="s">
        <v>469</v>
      </c>
      <c r="M60" s="870"/>
      <c r="N60" s="262">
        <f>-36842</f>
        <v>-36842</v>
      </c>
      <c r="O60" s="263"/>
    </row>
    <row r="61" spans="1:15" ht="45" x14ac:dyDescent="0.25">
      <c r="A61" s="255"/>
      <c r="B61" s="259"/>
      <c r="C61" s="253"/>
      <c r="D61" s="258"/>
      <c r="E61" s="258"/>
      <c r="F61" s="529">
        <v>43948</v>
      </c>
      <c r="G61" s="530" t="s">
        <v>207</v>
      </c>
      <c r="H61" s="478" t="s">
        <v>269</v>
      </c>
      <c r="I61" s="531" t="s">
        <v>268</v>
      </c>
      <c r="J61" s="286"/>
      <c r="K61" s="533">
        <v>7660246</v>
      </c>
      <c r="L61" s="869" t="s">
        <v>470</v>
      </c>
      <c r="M61" s="870"/>
      <c r="N61" s="262">
        <v>-49200</v>
      </c>
      <c r="O61" s="263"/>
    </row>
    <row r="62" spans="1:15" x14ac:dyDescent="0.25">
      <c r="A62" s="255"/>
      <c r="B62" s="259"/>
      <c r="C62" s="253"/>
      <c r="D62" s="258"/>
      <c r="E62" s="258"/>
      <c r="F62" s="401">
        <v>43949</v>
      </c>
      <c r="G62" s="284">
        <v>2524727</v>
      </c>
      <c r="H62" s="478" t="s">
        <v>257</v>
      </c>
      <c r="I62" s="210" t="s">
        <v>272</v>
      </c>
      <c r="J62" s="286"/>
      <c r="K62" s="211">
        <v>49200</v>
      </c>
      <c r="L62" s="869" t="s">
        <v>352</v>
      </c>
      <c r="M62" s="870"/>
      <c r="N62" s="262">
        <f>-480000</f>
        <v>-480000</v>
      </c>
      <c r="O62" s="263"/>
    </row>
    <row r="63" spans="1:15" x14ac:dyDescent="0.25">
      <c r="A63" s="255"/>
      <c r="B63" s="259"/>
      <c r="C63" s="253"/>
      <c r="D63" s="258"/>
      <c r="E63" s="258"/>
      <c r="F63" s="401">
        <v>43949</v>
      </c>
      <c r="G63" s="209"/>
      <c r="H63" s="395" t="s">
        <v>108</v>
      </c>
      <c r="I63" s="210" t="s">
        <v>249</v>
      </c>
      <c r="J63" s="286"/>
      <c r="K63" s="211">
        <v>5850</v>
      </c>
      <c r="L63" s="869"/>
      <c r="M63" s="870"/>
      <c r="N63" s="262"/>
      <c r="O63" s="263"/>
    </row>
    <row r="64" spans="1:15" x14ac:dyDescent="0.25">
      <c r="A64" s="255"/>
      <c r="B64" s="259"/>
      <c r="C64" s="253"/>
      <c r="D64" s="258"/>
      <c r="E64" s="258"/>
      <c r="F64" s="401">
        <v>43949</v>
      </c>
      <c r="G64" s="209"/>
      <c r="H64" s="395" t="s">
        <v>108</v>
      </c>
      <c r="I64" s="210" t="s">
        <v>250</v>
      </c>
      <c r="J64" s="286"/>
      <c r="K64" s="211">
        <v>100</v>
      </c>
      <c r="L64" s="268"/>
      <c r="M64" s="603"/>
      <c r="N64" s="269"/>
      <c r="O64" s="270">
        <f>SUM(N60:N62)</f>
        <v>-566042</v>
      </c>
    </row>
    <row r="65" spans="1:15" ht="15.75" thickBot="1" x14ac:dyDescent="0.3">
      <c r="A65" s="255"/>
      <c r="B65" s="259"/>
      <c r="C65" s="253"/>
      <c r="D65" s="258"/>
      <c r="E65" s="258"/>
      <c r="F65" s="401">
        <v>43949</v>
      </c>
      <c r="G65" s="209"/>
      <c r="H65" s="395" t="s">
        <v>108</v>
      </c>
      <c r="I65" s="210" t="s">
        <v>250</v>
      </c>
      <c r="J65" s="286"/>
      <c r="K65" s="211">
        <v>100</v>
      </c>
      <c r="L65" s="876" t="s">
        <v>229</v>
      </c>
      <c r="M65" s="877"/>
      <c r="N65" s="877"/>
      <c r="O65" s="271">
        <v>4441954</v>
      </c>
    </row>
    <row r="66" spans="1:15" ht="15.75" thickTop="1" x14ac:dyDescent="0.25">
      <c r="A66" s="255"/>
      <c r="B66" s="259"/>
      <c r="C66" s="253"/>
      <c r="D66" s="258"/>
      <c r="E66" s="258"/>
      <c r="F66" s="420">
        <v>43951</v>
      </c>
      <c r="G66" s="291"/>
      <c r="H66" s="479" t="s">
        <v>108</v>
      </c>
      <c r="I66" s="210" t="s">
        <v>279</v>
      </c>
      <c r="J66" s="421"/>
      <c r="K66" s="211">
        <v>15210</v>
      </c>
      <c r="L66" s="604"/>
      <c r="M66" s="605"/>
      <c r="N66" s="548"/>
      <c r="O66" s="549"/>
    </row>
    <row r="67" spans="1:15" ht="15" customHeight="1" x14ac:dyDescent="0.25">
      <c r="A67" s="255"/>
      <c r="B67" s="259"/>
      <c r="C67" s="253"/>
      <c r="D67" s="258"/>
      <c r="E67" s="258"/>
      <c r="F67" s="414"/>
      <c r="G67" s="480"/>
      <c r="H67" s="481"/>
      <c r="I67" s="482"/>
      <c r="J67" s="288"/>
      <c r="K67" s="282"/>
      <c r="L67" s="615" t="s">
        <v>471</v>
      </c>
      <c r="M67" s="616"/>
      <c r="N67" s="616"/>
      <c r="O67" s="616">
        <v>3817786</v>
      </c>
    </row>
    <row r="68" spans="1:15" x14ac:dyDescent="0.25">
      <c r="A68" s="255"/>
      <c r="B68" s="259"/>
      <c r="C68" s="253"/>
      <c r="D68" s="258"/>
      <c r="E68" s="258"/>
      <c r="F68" s="465">
        <v>43971</v>
      </c>
      <c r="G68" s="291">
        <v>2524739</v>
      </c>
      <c r="H68" s="483" t="s">
        <v>34</v>
      </c>
      <c r="I68" s="291" t="s">
        <v>312</v>
      </c>
      <c r="J68" s="291"/>
      <c r="K68" s="295">
        <v>350000</v>
      </c>
      <c r="L68" s="869" t="s">
        <v>225</v>
      </c>
      <c r="M68" s="870"/>
      <c r="N68" s="870"/>
      <c r="O68" s="262"/>
    </row>
    <row r="69" spans="1:15" x14ac:dyDescent="0.25">
      <c r="A69" s="255"/>
      <c r="B69" s="259"/>
      <c r="C69" s="253"/>
      <c r="D69" s="258"/>
      <c r="E69" s="258"/>
      <c r="F69" s="465">
        <v>43971</v>
      </c>
      <c r="G69" s="291" t="s">
        <v>322</v>
      </c>
      <c r="H69" s="483" t="s">
        <v>35</v>
      </c>
      <c r="I69" s="291" t="s">
        <v>323</v>
      </c>
      <c r="J69" s="291"/>
      <c r="K69" s="425">
        <v>175446</v>
      </c>
      <c r="L69" s="871" t="s">
        <v>226</v>
      </c>
      <c r="M69" s="872"/>
      <c r="N69" s="600"/>
      <c r="O69" s="263"/>
    </row>
    <row r="70" spans="1:15" x14ac:dyDescent="0.25">
      <c r="A70" s="255"/>
      <c r="B70" s="259"/>
      <c r="C70" s="253"/>
      <c r="D70" s="258"/>
      <c r="E70" s="258"/>
      <c r="F70" s="465">
        <v>43971</v>
      </c>
      <c r="G70" s="291" t="s">
        <v>322</v>
      </c>
      <c r="H70" s="483" t="s">
        <v>33</v>
      </c>
      <c r="I70" s="291" t="s">
        <v>324</v>
      </c>
      <c r="J70" s="291"/>
      <c r="K70" s="425">
        <v>307800</v>
      </c>
      <c r="L70" s="869" t="s">
        <v>227</v>
      </c>
      <c r="M70" s="870"/>
      <c r="N70" s="262"/>
      <c r="O70" s="263"/>
    </row>
    <row r="71" spans="1:15" x14ac:dyDescent="0.25">
      <c r="A71" s="255"/>
      <c r="B71" s="259"/>
      <c r="C71" s="253"/>
      <c r="D71" s="258"/>
      <c r="E71" s="258"/>
      <c r="F71" s="465">
        <v>43971</v>
      </c>
      <c r="G71" s="291" t="s">
        <v>322</v>
      </c>
      <c r="H71" s="483" t="s">
        <v>95</v>
      </c>
      <c r="I71" s="291" t="s">
        <v>325</v>
      </c>
      <c r="J71" s="291"/>
      <c r="K71" s="425">
        <v>175000</v>
      </c>
      <c r="L71" s="869" t="s">
        <v>469</v>
      </c>
      <c r="M71" s="870"/>
      <c r="N71" s="262">
        <v>36842</v>
      </c>
      <c r="O71" s="263"/>
    </row>
    <row r="72" spans="1:15" x14ac:dyDescent="0.25">
      <c r="A72" s="255"/>
      <c r="B72" s="259"/>
      <c r="C72" s="253"/>
      <c r="D72" s="258"/>
      <c r="E72" s="258"/>
      <c r="F72" s="465">
        <v>43971</v>
      </c>
      <c r="G72" s="291">
        <v>2524737</v>
      </c>
      <c r="H72" s="483" t="s">
        <v>109</v>
      </c>
      <c r="I72" s="484" t="s">
        <v>313</v>
      </c>
      <c r="J72" s="291"/>
      <c r="K72" s="425">
        <v>150000</v>
      </c>
      <c r="L72" s="869" t="s">
        <v>470</v>
      </c>
      <c r="M72" s="870"/>
      <c r="N72" s="262">
        <v>49200</v>
      </c>
      <c r="O72" s="263"/>
    </row>
    <row r="73" spans="1:15" x14ac:dyDescent="0.25">
      <c r="A73" s="255"/>
      <c r="B73" s="259"/>
      <c r="C73" s="253"/>
      <c r="D73" s="258"/>
      <c r="E73" s="258"/>
      <c r="F73" s="465">
        <v>43971</v>
      </c>
      <c r="G73" s="291">
        <v>2524733</v>
      </c>
      <c r="H73" s="483" t="s">
        <v>95</v>
      </c>
      <c r="I73" s="291" t="s">
        <v>314</v>
      </c>
      <c r="J73" s="291"/>
      <c r="K73" s="425">
        <v>175000</v>
      </c>
      <c r="L73" s="869" t="s">
        <v>352</v>
      </c>
      <c r="M73" s="870"/>
      <c r="N73" s="262">
        <v>480000</v>
      </c>
      <c r="O73" s="263"/>
    </row>
    <row r="74" spans="1:15" x14ac:dyDescent="0.25">
      <c r="A74" s="255"/>
      <c r="B74" s="259"/>
      <c r="C74" s="253"/>
      <c r="D74" s="258"/>
      <c r="E74" s="258"/>
      <c r="F74" s="465">
        <v>43971</v>
      </c>
      <c r="G74" s="291">
        <v>2524734</v>
      </c>
      <c r="H74" s="483" t="s">
        <v>95</v>
      </c>
      <c r="I74" s="291" t="s">
        <v>315</v>
      </c>
      <c r="J74" s="291"/>
      <c r="K74" s="425">
        <v>175000</v>
      </c>
      <c r="L74" s="869" t="s">
        <v>472</v>
      </c>
      <c r="M74" s="870"/>
      <c r="N74" s="262">
        <v>36842</v>
      </c>
      <c r="O74" s="263"/>
    </row>
    <row r="75" spans="1:15" x14ac:dyDescent="0.25">
      <c r="A75" s="255"/>
      <c r="B75" s="259"/>
      <c r="C75" s="253"/>
      <c r="D75" s="258"/>
      <c r="E75" s="258"/>
      <c r="F75" s="465">
        <v>43971</v>
      </c>
      <c r="G75" s="291">
        <v>2524740</v>
      </c>
      <c r="H75" s="483" t="s">
        <v>95</v>
      </c>
      <c r="I75" s="291" t="s">
        <v>316</v>
      </c>
      <c r="J75" s="484"/>
      <c r="K75" s="425">
        <v>175000</v>
      </c>
      <c r="L75" s="869" t="s">
        <v>473</v>
      </c>
      <c r="M75" s="870"/>
      <c r="N75" s="262">
        <v>49200</v>
      </c>
      <c r="O75" s="263"/>
    </row>
    <row r="76" spans="1:15" x14ac:dyDescent="0.25">
      <c r="A76" s="255"/>
      <c r="B76" s="259"/>
      <c r="C76" s="253"/>
      <c r="D76" s="258"/>
      <c r="E76" s="258"/>
      <c r="F76" s="465">
        <v>43971</v>
      </c>
      <c r="G76" s="291">
        <v>2524738</v>
      </c>
      <c r="H76" s="483"/>
      <c r="I76" s="291" t="s">
        <v>317</v>
      </c>
      <c r="J76" s="291"/>
      <c r="K76" s="425">
        <v>150000</v>
      </c>
      <c r="L76" s="601"/>
      <c r="M76" s="602"/>
      <c r="N76" s="262">
        <f>J67</f>
        <v>0</v>
      </c>
      <c r="O76" s="263"/>
    </row>
    <row r="77" spans="1:15" x14ac:dyDescent="0.25">
      <c r="A77" s="255"/>
      <c r="B77" s="259"/>
      <c r="C77" s="253"/>
      <c r="D77" s="258"/>
      <c r="E77" s="258"/>
      <c r="F77" s="465">
        <v>43971</v>
      </c>
      <c r="G77" s="291">
        <v>2524736</v>
      </c>
      <c r="H77" s="483"/>
      <c r="I77" s="291" t="s">
        <v>326</v>
      </c>
      <c r="J77" s="291"/>
      <c r="K77" s="425">
        <v>49200</v>
      </c>
      <c r="L77" s="601"/>
      <c r="M77" s="602"/>
      <c r="N77" s="262">
        <v>175000</v>
      </c>
      <c r="O77" s="263"/>
    </row>
    <row r="78" spans="1:15" x14ac:dyDescent="0.25">
      <c r="A78" s="255"/>
      <c r="B78" s="259"/>
      <c r="C78" s="253"/>
      <c r="D78" s="258"/>
      <c r="E78" s="258"/>
      <c r="F78" s="424">
        <v>43971</v>
      </c>
      <c r="G78" s="291">
        <v>2524735</v>
      </c>
      <c r="H78" s="483"/>
      <c r="I78" s="291" t="s">
        <v>327</v>
      </c>
      <c r="J78" s="291"/>
      <c r="K78" s="425">
        <v>36842</v>
      </c>
      <c r="L78" s="268"/>
      <c r="M78" s="603"/>
      <c r="N78" s="269"/>
      <c r="O78" s="270">
        <f>SUM(N71:N77)</f>
        <v>827084</v>
      </c>
    </row>
    <row r="79" spans="1:15" ht="15.75" thickBot="1" x14ac:dyDescent="0.3">
      <c r="A79" s="255"/>
      <c r="B79" s="259"/>
      <c r="C79" s="253"/>
      <c r="D79" s="258"/>
      <c r="E79" s="258"/>
      <c r="F79" s="424">
        <v>43980</v>
      </c>
      <c r="G79" s="291"/>
      <c r="H79" s="483"/>
      <c r="I79" s="291" t="s">
        <v>318</v>
      </c>
      <c r="J79" s="484"/>
      <c r="K79" s="425">
        <v>15210</v>
      </c>
      <c r="L79" s="876" t="s">
        <v>229</v>
      </c>
      <c r="M79" s="877"/>
      <c r="N79" s="877"/>
      <c r="O79" s="271">
        <f>O67-O78</f>
        <v>2990702</v>
      </c>
    </row>
    <row r="80" spans="1:15" ht="6" customHeight="1" thickTop="1" x14ac:dyDescent="0.25">
      <c r="A80" s="255"/>
      <c r="B80" s="259"/>
      <c r="C80" s="253"/>
      <c r="D80" s="258"/>
      <c r="E80" s="258"/>
      <c r="F80" s="516"/>
      <c r="G80" s="480"/>
      <c r="H80" s="481"/>
      <c r="I80" s="482"/>
      <c r="J80" s="288"/>
      <c r="K80" s="282"/>
      <c r="L80" s="622"/>
      <c r="M80" s="598"/>
      <c r="N80" s="599"/>
      <c r="O80" s="277"/>
    </row>
    <row r="81" spans="1:15" ht="18.75" customHeight="1" x14ac:dyDescent="0.25">
      <c r="A81" s="255"/>
      <c r="B81" s="259"/>
      <c r="C81" s="253"/>
      <c r="D81" s="258"/>
      <c r="E81" s="258"/>
      <c r="F81" s="516">
        <v>43984</v>
      </c>
      <c r="G81" s="480"/>
      <c r="H81" s="481"/>
      <c r="I81" s="482" t="s">
        <v>351</v>
      </c>
      <c r="J81" s="288"/>
      <c r="K81" s="282">
        <v>526</v>
      </c>
      <c r="L81" s="615" t="s">
        <v>482</v>
      </c>
      <c r="M81" s="616"/>
      <c r="N81" s="616"/>
      <c r="O81" s="616">
        <v>1897265</v>
      </c>
    </row>
    <row r="82" spans="1:15" ht="18.75" customHeight="1" x14ac:dyDescent="0.25">
      <c r="A82" s="255"/>
      <c r="B82" s="259"/>
      <c r="C82" s="253"/>
      <c r="D82" s="258"/>
      <c r="E82" s="258"/>
      <c r="F82" s="516">
        <v>43985</v>
      </c>
      <c r="G82" s="480"/>
      <c r="H82" s="481"/>
      <c r="I82" s="482" t="s">
        <v>236</v>
      </c>
      <c r="J82" s="288"/>
      <c r="K82" s="282">
        <v>100</v>
      </c>
      <c r="L82" s="869" t="s">
        <v>225</v>
      </c>
      <c r="M82" s="870"/>
      <c r="N82" s="870"/>
      <c r="O82" s="262"/>
    </row>
    <row r="83" spans="1:15" ht="15" customHeight="1" x14ac:dyDescent="0.25">
      <c r="A83" s="255"/>
      <c r="B83" s="259"/>
      <c r="C83" s="253"/>
      <c r="D83" s="258"/>
      <c r="E83" s="258"/>
      <c r="F83" s="424">
        <v>44006</v>
      </c>
      <c r="G83" s="291">
        <v>254747</v>
      </c>
      <c r="H83" s="483" t="s">
        <v>34</v>
      </c>
      <c r="I83" s="291" t="s">
        <v>338</v>
      </c>
      <c r="J83" s="291"/>
      <c r="K83" s="295">
        <v>350000</v>
      </c>
      <c r="L83" s="871" t="s">
        <v>226</v>
      </c>
      <c r="M83" s="872"/>
      <c r="N83" s="600"/>
      <c r="O83" s="263"/>
    </row>
    <row r="84" spans="1:15" ht="15" customHeight="1" x14ac:dyDescent="0.25">
      <c r="A84" s="255"/>
      <c r="B84" s="259"/>
      <c r="C84" s="253"/>
      <c r="D84" s="258"/>
      <c r="E84" s="258"/>
      <c r="F84" s="424">
        <f>F83</f>
        <v>44006</v>
      </c>
      <c r="G84" s="291" t="s">
        <v>322</v>
      </c>
      <c r="H84" s="483" t="s">
        <v>35</v>
      </c>
      <c r="I84" s="291" t="s">
        <v>339</v>
      </c>
      <c r="J84" s="291"/>
      <c r="K84" s="425">
        <v>175446</v>
      </c>
      <c r="L84" s="869" t="s">
        <v>227</v>
      </c>
      <c r="M84" s="870"/>
      <c r="N84" s="262"/>
      <c r="O84" s="263"/>
    </row>
    <row r="85" spans="1:15" ht="15" customHeight="1" x14ac:dyDescent="0.25">
      <c r="A85" s="255"/>
      <c r="B85" s="259"/>
      <c r="C85" s="253"/>
      <c r="D85" s="258"/>
      <c r="E85" s="258"/>
      <c r="F85" s="424">
        <f t="shared" ref="F85:F93" si="0">F84</f>
        <v>44006</v>
      </c>
      <c r="G85" s="291" t="s">
        <v>322</v>
      </c>
      <c r="H85" s="483" t="s">
        <v>33</v>
      </c>
      <c r="I85" s="291" t="s">
        <v>346</v>
      </c>
      <c r="J85" s="291"/>
      <c r="K85" s="425">
        <v>307800</v>
      </c>
      <c r="L85" s="869" t="s">
        <v>322</v>
      </c>
      <c r="M85" s="870"/>
      <c r="N85" s="262">
        <v>175466</v>
      </c>
      <c r="O85" s="263"/>
    </row>
    <row r="86" spans="1:15" x14ac:dyDescent="0.25">
      <c r="A86" s="255"/>
      <c r="B86" s="259"/>
      <c r="C86" s="253"/>
      <c r="D86" s="258"/>
      <c r="E86" s="258"/>
      <c r="F86" s="424">
        <f t="shared" si="0"/>
        <v>44006</v>
      </c>
      <c r="G86" s="291" t="s">
        <v>322</v>
      </c>
      <c r="H86" s="483" t="s">
        <v>95</v>
      </c>
      <c r="I86" s="291" t="s">
        <v>340</v>
      </c>
      <c r="J86" s="291"/>
      <c r="K86" s="425">
        <v>175000</v>
      </c>
      <c r="L86" s="869" t="s">
        <v>322</v>
      </c>
      <c r="M86" s="870"/>
      <c r="N86" s="262">
        <v>307800</v>
      </c>
      <c r="O86" s="263"/>
    </row>
    <row r="87" spans="1:15" x14ac:dyDescent="0.25">
      <c r="A87" s="255"/>
      <c r="B87" s="259"/>
      <c r="C87" s="253"/>
      <c r="D87" s="258"/>
      <c r="E87" s="258"/>
      <c r="F87" s="424">
        <f t="shared" si="0"/>
        <v>44006</v>
      </c>
      <c r="G87" s="291">
        <v>2524745</v>
      </c>
      <c r="H87" s="483" t="s">
        <v>109</v>
      </c>
      <c r="I87" s="484" t="s">
        <v>334</v>
      </c>
      <c r="J87" s="291"/>
      <c r="K87" s="425">
        <v>150000</v>
      </c>
      <c r="L87" s="869" t="s">
        <v>322</v>
      </c>
      <c r="M87" s="870"/>
      <c r="N87" s="262">
        <v>175000</v>
      </c>
      <c r="O87" s="263"/>
    </row>
    <row r="88" spans="1:15" x14ac:dyDescent="0.25">
      <c r="A88" s="255"/>
      <c r="B88" s="259"/>
      <c r="C88" s="253"/>
      <c r="D88" s="258"/>
      <c r="E88" s="258"/>
      <c r="F88" s="424">
        <f t="shared" si="0"/>
        <v>44006</v>
      </c>
      <c r="G88" s="291">
        <v>2524741</v>
      </c>
      <c r="H88" s="483" t="s">
        <v>95</v>
      </c>
      <c r="I88" s="291" t="s">
        <v>341</v>
      </c>
      <c r="J88" s="291"/>
      <c r="K88" s="425">
        <v>175000</v>
      </c>
      <c r="L88" s="869" t="s">
        <v>486</v>
      </c>
      <c r="M88" s="870"/>
      <c r="N88" s="262">
        <v>225000</v>
      </c>
      <c r="O88" s="263"/>
    </row>
    <row r="89" spans="1:15" x14ac:dyDescent="0.25">
      <c r="A89" s="255"/>
      <c r="B89" s="259"/>
      <c r="C89" s="253"/>
      <c r="D89" s="258"/>
      <c r="E89" s="258"/>
      <c r="F89" s="424">
        <f t="shared" si="0"/>
        <v>44006</v>
      </c>
      <c r="G89" s="291">
        <v>2524742</v>
      </c>
      <c r="H89" s="483" t="s">
        <v>95</v>
      </c>
      <c r="I89" s="291" t="s">
        <v>342</v>
      </c>
      <c r="J89" s="291"/>
      <c r="K89" s="425">
        <v>175000</v>
      </c>
      <c r="L89" s="869" t="s">
        <v>467</v>
      </c>
      <c r="M89" s="870"/>
      <c r="N89" s="262">
        <v>49200</v>
      </c>
      <c r="O89" s="263"/>
    </row>
    <row r="90" spans="1:15" x14ac:dyDescent="0.25">
      <c r="A90" s="255"/>
      <c r="B90" s="259"/>
      <c r="C90" s="253"/>
      <c r="D90" s="258"/>
      <c r="E90" s="258"/>
      <c r="F90" s="424">
        <f t="shared" si="0"/>
        <v>44006</v>
      </c>
      <c r="G90" s="291">
        <v>2524748</v>
      </c>
      <c r="H90" s="483" t="s">
        <v>95</v>
      </c>
      <c r="I90" s="291" t="s">
        <v>343</v>
      </c>
      <c r="J90" s="291"/>
      <c r="K90" s="425">
        <v>175000</v>
      </c>
      <c r="L90" s="869" t="s">
        <v>466</v>
      </c>
      <c r="M90" s="870"/>
      <c r="N90" s="262">
        <v>36842</v>
      </c>
      <c r="O90" s="263"/>
    </row>
    <row r="91" spans="1:15" x14ac:dyDescent="0.25">
      <c r="A91" s="255"/>
      <c r="B91" s="259"/>
      <c r="C91" s="253"/>
      <c r="D91" s="258"/>
      <c r="E91" s="258"/>
      <c r="F91" s="424">
        <f t="shared" si="0"/>
        <v>44006</v>
      </c>
      <c r="G91" s="291">
        <v>2524746</v>
      </c>
      <c r="H91" s="483"/>
      <c r="I91" s="291" t="s">
        <v>344</v>
      </c>
      <c r="J91" s="291"/>
      <c r="K91" s="425">
        <v>225000</v>
      </c>
      <c r="L91" s="869" t="s">
        <v>487</v>
      </c>
      <c r="M91" s="870"/>
      <c r="N91" s="262">
        <v>43100</v>
      </c>
      <c r="O91" s="263"/>
    </row>
    <row r="92" spans="1:15" x14ac:dyDescent="0.25">
      <c r="A92" s="255"/>
      <c r="B92" s="259"/>
      <c r="C92" s="253"/>
      <c r="D92" s="258"/>
      <c r="E92" s="258"/>
      <c r="F92" s="517">
        <f t="shared" si="0"/>
        <v>44006</v>
      </c>
      <c r="G92" s="518">
        <v>2524744</v>
      </c>
      <c r="H92" s="519"/>
      <c r="I92" s="518" t="s">
        <v>326</v>
      </c>
      <c r="J92" s="518"/>
      <c r="K92" s="520">
        <v>49200</v>
      </c>
      <c r="L92" s="869" t="s">
        <v>352</v>
      </c>
      <c r="M92" s="870"/>
      <c r="N92" s="269">
        <v>480000</v>
      </c>
      <c r="O92" s="614"/>
    </row>
    <row r="93" spans="1:15" ht="15.75" customHeight="1" x14ac:dyDescent="0.25">
      <c r="A93" s="255"/>
      <c r="B93" s="259"/>
      <c r="C93" s="253"/>
      <c r="D93" s="258"/>
      <c r="E93" s="258"/>
      <c r="F93" s="424">
        <f t="shared" si="0"/>
        <v>44006</v>
      </c>
      <c r="G93" s="291">
        <v>2524743</v>
      </c>
      <c r="H93" s="483"/>
      <c r="I93" s="291" t="s">
        <v>327</v>
      </c>
      <c r="J93" s="291"/>
      <c r="K93" s="425">
        <v>36842</v>
      </c>
      <c r="L93" s="268"/>
      <c r="M93" s="603"/>
      <c r="N93" s="269"/>
      <c r="O93" s="270">
        <f>SUM(N85:N92)</f>
        <v>1492408</v>
      </c>
    </row>
    <row r="94" spans="1:15" ht="15.75" thickBot="1" x14ac:dyDescent="0.3">
      <c r="A94" s="255"/>
      <c r="B94" s="259"/>
      <c r="C94" s="253"/>
      <c r="D94" s="258"/>
      <c r="E94" s="258"/>
      <c r="F94" s="424">
        <v>44006</v>
      </c>
      <c r="G94" s="291">
        <v>2524750</v>
      </c>
      <c r="H94" s="483" t="s">
        <v>38</v>
      </c>
      <c r="I94" s="291" t="s">
        <v>347</v>
      </c>
      <c r="J94" s="291"/>
      <c r="K94" s="425">
        <v>43100</v>
      </c>
      <c r="L94" s="876" t="s">
        <v>229</v>
      </c>
      <c r="M94" s="877"/>
      <c r="N94" s="877"/>
      <c r="O94" s="271">
        <f>O81-O93</f>
        <v>404857</v>
      </c>
    </row>
    <row r="95" spans="1:15" ht="15.75" thickTop="1" x14ac:dyDescent="0.25">
      <c r="A95" s="255"/>
      <c r="B95" s="259"/>
      <c r="C95" s="253"/>
      <c r="D95" s="258"/>
      <c r="E95" s="258"/>
      <c r="F95" s="424">
        <v>44012</v>
      </c>
      <c r="G95" s="291"/>
      <c r="H95" s="483"/>
      <c r="I95" s="291" t="s">
        <v>345</v>
      </c>
      <c r="J95" s="291"/>
      <c r="K95" s="425">
        <v>15210</v>
      </c>
      <c r="L95" s="491"/>
      <c r="M95" s="492"/>
      <c r="N95" s="269"/>
      <c r="O95" s="270"/>
    </row>
    <row r="96" spans="1:15" ht="15.95" customHeight="1" x14ac:dyDescent="0.25">
      <c r="A96" s="255"/>
      <c r="B96" s="259"/>
      <c r="C96" s="253"/>
      <c r="D96" s="258"/>
      <c r="E96" s="258"/>
      <c r="F96" s="424">
        <v>44012</v>
      </c>
      <c r="G96" s="291"/>
      <c r="H96" s="521"/>
      <c r="I96" s="291" t="s">
        <v>350</v>
      </c>
      <c r="J96" s="291"/>
      <c r="K96" s="425">
        <v>49355</v>
      </c>
      <c r="L96" s="268"/>
      <c r="M96" s="875"/>
      <c r="N96" s="875"/>
      <c r="O96" s="875"/>
    </row>
    <row r="97" spans="1:15" ht="6.95" customHeight="1" x14ac:dyDescent="0.25">
      <c r="A97" s="255"/>
      <c r="B97" s="259"/>
      <c r="C97" s="253"/>
      <c r="D97" s="258"/>
      <c r="E97" s="258"/>
      <c r="F97" s="522"/>
      <c r="G97" s="291"/>
      <c r="H97" s="521"/>
      <c r="I97" s="291"/>
      <c r="J97" s="291"/>
      <c r="K97" s="425"/>
      <c r="L97" s="512"/>
      <c r="M97" s="512"/>
    </row>
    <row r="98" spans="1:15" x14ac:dyDescent="0.25">
      <c r="A98" s="507">
        <v>44014</v>
      </c>
      <c r="B98" s="257" t="s">
        <v>376</v>
      </c>
      <c r="C98" s="508">
        <v>4</v>
      </c>
      <c r="D98" s="265">
        <v>9633719</v>
      </c>
      <c r="E98" s="265"/>
      <c r="F98" s="424">
        <v>44034</v>
      </c>
      <c r="G98" s="291">
        <v>254756</v>
      </c>
      <c r="H98" s="483" t="s">
        <v>34</v>
      </c>
      <c r="I98" s="291" t="s">
        <v>338</v>
      </c>
      <c r="J98" s="291"/>
      <c r="K98" s="295">
        <v>350000</v>
      </c>
      <c r="L98" s="601"/>
      <c r="M98" s="602"/>
      <c r="N98" s="262"/>
      <c r="O98" s="263"/>
    </row>
    <row r="99" spans="1:15" ht="15" customHeight="1" x14ac:dyDescent="0.25">
      <c r="A99" s="253"/>
      <c r="B99" s="252"/>
      <c r="C99" s="264"/>
      <c r="D99" s="265"/>
      <c r="E99" s="265"/>
      <c r="F99" s="424">
        <f>F98</f>
        <v>44034</v>
      </c>
      <c r="G99" s="291" t="s">
        <v>322</v>
      </c>
      <c r="H99" s="483" t="s">
        <v>35</v>
      </c>
      <c r="I99" s="291" t="s">
        <v>339</v>
      </c>
      <c r="J99" s="291"/>
      <c r="K99" s="523">
        <v>175446</v>
      </c>
      <c r="L99" s="880" t="s">
        <v>488</v>
      </c>
      <c r="M99" s="881"/>
      <c r="N99" s="616"/>
      <c r="O99" s="616">
        <v>6556123</v>
      </c>
    </row>
    <row r="100" spans="1:15" x14ac:dyDescent="0.25">
      <c r="A100" s="253"/>
      <c r="B100" s="252"/>
      <c r="C100" s="264"/>
      <c r="D100" s="244"/>
      <c r="E100" s="244"/>
      <c r="F100" s="524">
        <f t="shared" ref="F100:F106" si="1">F99</f>
        <v>44034</v>
      </c>
      <c r="G100" s="509" t="s">
        <v>322</v>
      </c>
      <c r="H100" s="510" t="s">
        <v>33</v>
      </c>
      <c r="I100" s="509" t="s">
        <v>377</v>
      </c>
      <c r="J100" s="509"/>
      <c r="K100" s="511">
        <v>307800</v>
      </c>
      <c r="L100" s="869" t="s">
        <v>225</v>
      </c>
      <c r="M100" s="870"/>
      <c r="N100" s="870"/>
      <c r="O100" s="262"/>
    </row>
    <row r="101" spans="1:15" x14ac:dyDescent="0.25">
      <c r="D101" s="222"/>
      <c r="E101" s="222"/>
      <c r="F101" s="424">
        <f t="shared" si="1"/>
        <v>44034</v>
      </c>
      <c r="G101" s="291" t="s">
        <v>322</v>
      </c>
      <c r="H101" s="483" t="s">
        <v>95</v>
      </c>
      <c r="I101" s="291" t="s">
        <v>378</v>
      </c>
      <c r="J101" s="291"/>
      <c r="K101" s="425">
        <v>175000</v>
      </c>
      <c r="L101" s="871" t="s">
        <v>226</v>
      </c>
      <c r="M101" s="872"/>
      <c r="N101" s="600"/>
      <c r="O101" s="263"/>
    </row>
    <row r="102" spans="1:15" x14ac:dyDescent="0.25">
      <c r="A102" s="222"/>
      <c r="B102" s="222"/>
      <c r="C102" s="222"/>
      <c r="D102" s="222"/>
      <c r="E102" s="222"/>
      <c r="F102" s="424">
        <f t="shared" si="1"/>
        <v>44034</v>
      </c>
      <c r="G102" s="291">
        <v>2524754</v>
      </c>
      <c r="H102" s="483" t="s">
        <v>109</v>
      </c>
      <c r="I102" s="484" t="s">
        <v>379</v>
      </c>
      <c r="J102" s="291"/>
      <c r="K102" s="425">
        <v>150000</v>
      </c>
      <c r="L102" s="869" t="s">
        <v>227</v>
      </c>
      <c r="M102" s="870"/>
      <c r="N102" s="262"/>
      <c r="O102" s="263"/>
    </row>
    <row r="103" spans="1:15" x14ac:dyDescent="0.25">
      <c r="A103" s="222"/>
      <c r="B103" s="222"/>
      <c r="C103" s="222"/>
      <c r="D103" s="222"/>
      <c r="E103" s="222"/>
      <c r="F103" s="424">
        <f t="shared" si="1"/>
        <v>44034</v>
      </c>
      <c r="G103" s="291" t="s">
        <v>322</v>
      </c>
      <c r="H103" s="483" t="s">
        <v>95</v>
      </c>
      <c r="I103" s="291" t="s">
        <v>380</v>
      </c>
      <c r="J103" s="291"/>
      <c r="K103" s="425">
        <v>175000</v>
      </c>
      <c r="L103" s="869" t="s">
        <v>490</v>
      </c>
      <c r="M103" s="870"/>
      <c r="N103" s="262">
        <v>49200</v>
      </c>
      <c r="O103" s="263"/>
    </row>
    <row r="104" spans="1:15" x14ac:dyDescent="0.25">
      <c r="A104" s="222"/>
      <c r="B104" s="222"/>
      <c r="C104" s="222"/>
      <c r="D104" s="222"/>
      <c r="E104" s="222"/>
      <c r="F104" s="424">
        <f t="shared" si="1"/>
        <v>44034</v>
      </c>
      <c r="G104" s="291">
        <v>2524751</v>
      </c>
      <c r="H104" s="483" t="s">
        <v>95</v>
      </c>
      <c r="I104" s="291" t="s">
        <v>381</v>
      </c>
      <c r="J104" s="291"/>
      <c r="K104" s="425">
        <v>175000</v>
      </c>
      <c r="L104" s="869" t="s">
        <v>491</v>
      </c>
      <c r="M104" s="870"/>
      <c r="N104" s="262">
        <v>36842</v>
      </c>
      <c r="O104" s="263"/>
    </row>
    <row r="105" spans="1:15" x14ac:dyDescent="0.25">
      <c r="A105" s="222"/>
      <c r="B105" s="222"/>
      <c r="C105" s="222"/>
      <c r="D105" s="222"/>
      <c r="E105" s="222"/>
      <c r="F105" s="424">
        <f t="shared" si="1"/>
        <v>44034</v>
      </c>
      <c r="G105" s="291">
        <v>2524757</v>
      </c>
      <c r="H105" s="483" t="s">
        <v>95</v>
      </c>
      <c r="I105" s="291" t="s">
        <v>382</v>
      </c>
      <c r="J105" s="291"/>
      <c r="K105" s="425">
        <v>175000</v>
      </c>
      <c r="L105" s="869"/>
      <c r="M105" s="870"/>
      <c r="N105" s="262"/>
      <c r="O105" s="263"/>
    </row>
    <row r="106" spans="1:15" x14ac:dyDescent="0.25">
      <c r="A106" s="222"/>
      <c r="B106" s="222"/>
      <c r="C106" s="222"/>
      <c r="D106" s="222"/>
      <c r="E106" s="222"/>
      <c r="F106" s="424">
        <f t="shared" si="1"/>
        <v>44034</v>
      </c>
      <c r="G106" s="291">
        <v>2524755</v>
      </c>
      <c r="H106" s="483"/>
      <c r="I106" s="291" t="s">
        <v>383</v>
      </c>
      <c r="J106" s="291"/>
      <c r="K106" s="425">
        <v>225000</v>
      </c>
      <c r="L106" s="869"/>
      <c r="M106" s="870"/>
      <c r="N106" s="262"/>
      <c r="O106" s="263"/>
    </row>
    <row r="107" spans="1:15" x14ac:dyDescent="0.25">
      <c r="A107" s="222"/>
      <c r="B107" s="222"/>
      <c r="C107" s="222"/>
      <c r="D107" s="222"/>
      <c r="E107" s="222"/>
      <c r="F107" s="424">
        <v>44032</v>
      </c>
      <c r="G107" s="291">
        <v>2524753</v>
      </c>
      <c r="H107" s="483"/>
      <c r="I107" s="291" t="s">
        <v>326</v>
      </c>
      <c r="J107" s="291"/>
      <c r="K107" s="425">
        <v>49200</v>
      </c>
      <c r="L107" s="268"/>
      <c r="M107" s="603"/>
      <c r="N107" s="269"/>
      <c r="O107" s="270">
        <f>SUM(N103:N105)</f>
        <v>86042</v>
      </c>
    </row>
    <row r="108" spans="1:15" ht="15.75" thickBot="1" x14ac:dyDescent="0.3">
      <c r="A108" s="222"/>
      <c r="B108" s="222"/>
      <c r="C108" s="222"/>
      <c r="D108" s="222"/>
      <c r="E108" s="222"/>
      <c r="F108" s="424">
        <v>44032</v>
      </c>
      <c r="G108" s="291">
        <v>2524752</v>
      </c>
      <c r="H108" s="483"/>
      <c r="I108" s="291" t="s">
        <v>327</v>
      </c>
      <c r="J108" s="291"/>
      <c r="K108" s="525">
        <v>36842</v>
      </c>
      <c r="L108" s="876" t="s">
        <v>229</v>
      </c>
      <c r="M108" s="877"/>
      <c r="N108" s="877"/>
      <c r="O108" s="271">
        <f>O99-O107</f>
        <v>6470081</v>
      </c>
    </row>
    <row r="109" spans="1:15" ht="15.75" thickTop="1" x14ac:dyDescent="0.25">
      <c r="A109" s="222"/>
      <c r="B109" s="222"/>
      <c r="C109" s="222"/>
      <c r="D109" s="222"/>
      <c r="E109" s="222"/>
      <c r="F109" s="424">
        <v>44026</v>
      </c>
      <c r="G109" s="291">
        <v>2524749</v>
      </c>
      <c r="H109" s="483" t="s">
        <v>31</v>
      </c>
      <c r="I109" s="291" t="s">
        <v>384</v>
      </c>
      <c r="J109" s="291"/>
      <c r="K109" s="425">
        <v>300000</v>
      </c>
      <c r="L109" s="493"/>
      <c r="M109" s="494"/>
      <c r="N109" s="263"/>
      <c r="O109" s="263"/>
    </row>
    <row r="110" spans="1:15" x14ac:dyDescent="0.25">
      <c r="A110" s="222"/>
      <c r="B110" s="222"/>
      <c r="C110" s="222"/>
      <c r="D110" s="222"/>
      <c r="E110" s="222"/>
      <c r="F110" s="424">
        <v>44042</v>
      </c>
      <c r="G110" s="291"/>
      <c r="H110" s="483" t="s">
        <v>108</v>
      </c>
      <c r="I110" s="291" t="s">
        <v>350</v>
      </c>
      <c r="J110" s="291"/>
      <c r="K110" s="425">
        <v>24227</v>
      </c>
      <c r="L110" s="493"/>
      <c r="M110" s="477"/>
      <c r="N110" s="262"/>
      <c r="O110" s="263"/>
    </row>
    <row r="111" spans="1:15" x14ac:dyDescent="0.25">
      <c r="A111" s="222"/>
      <c r="B111" s="222"/>
      <c r="C111" s="222"/>
      <c r="D111" s="222"/>
      <c r="E111" s="222"/>
      <c r="F111" s="424">
        <v>44036</v>
      </c>
      <c r="G111" s="291">
        <v>2524762</v>
      </c>
      <c r="H111" s="483" t="s">
        <v>385</v>
      </c>
      <c r="I111" s="291" t="s">
        <v>386</v>
      </c>
      <c r="J111" s="291"/>
      <c r="K111" s="425">
        <v>1300000</v>
      </c>
      <c r="L111" s="873"/>
      <c r="M111" s="874"/>
      <c r="N111" s="548"/>
      <c r="O111" s="549"/>
    </row>
    <row r="112" spans="1:15" x14ac:dyDescent="0.25">
      <c r="A112" s="222"/>
      <c r="B112" s="222"/>
      <c r="C112" s="222"/>
      <c r="D112" s="222"/>
      <c r="E112" s="222"/>
      <c r="F112" s="424">
        <v>44039</v>
      </c>
      <c r="G112" s="291">
        <v>2524758</v>
      </c>
      <c r="H112" s="483" t="s">
        <v>387</v>
      </c>
      <c r="I112" s="291" t="s">
        <v>388</v>
      </c>
      <c r="J112" s="291"/>
      <c r="K112" s="425">
        <v>400000</v>
      </c>
      <c r="L112" s="550"/>
      <c r="M112" s="551"/>
      <c r="N112" s="548"/>
      <c r="O112" s="549"/>
    </row>
    <row r="113" spans="1:15" ht="15" customHeight="1" x14ac:dyDescent="0.25">
      <c r="A113" s="222"/>
      <c r="B113" s="222"/>
      <c r="C113" s="222"/>
      <c r="D113" s="222"/>
      <c r="E113" s="222"/>
      <c r="F113" s="424">
        <v>44040</v>
      </c>
      <c r="G113" s="291">
        <v>2524763</v>
      </c>
      <c r="H113" s="483" t="s">
        <v>39</v>
      </c>
      <c r="I113" s="291" t="s">
        <v>389</v>
      </c>
      <c r="J113" s="291"/>
      <c r="K113" s="425">
        <v>30000</v>
      </c>
      <c r="L113" s="601"/>
      <c r="M113" s="602"/>
      <c r="N113" s="262"/>
      <c r="O113" s="263"/>
    </row>
    <row r="114" spans="1:15" ht="13.5" customHeight="1" x14ac:dyDescent="0.25">
      <c r="A114" s="222"/>
      <c r="B114" s="222"/>
      <c r="C114" s="222"/>
      <c r="D114" s="222"/>
      <c r="E114" s="222"/>
      <c r="F114" s="465"/>
      <c r="G114" s="222"/>
      <c r="H114" s="418"/>
      <c r="I114" s="222"/>
      <c r="J114" s="222"/>
      <c r="K114" s="229"/>
      <c r="L114" s="880" t="s">
        <v>489</v>
      </c>
      <c r="M114" s="881"/>
      <c r="N114" s="616"/>
      <c r="O114" s="616">
        <v>2094515</v>
      </c>
    </row>
    <row r="115" spans="1:15" ht="15" customHeight="1" x14ac:dyDescent="0.25">
      <c r="A115" s="222"/>
      <c r="B115" s="222"/>
      <c r="C115" s="222"/>
      <c r="D115" s="222"/>
      <c r="E115" s="222"/>
      <c r="F115" s="465">
        <v>44063</v>
      </c>
      <c r="G115" s="222">
        <v>2524761</v>
      </c>
      <c r="H115" s="418" t="s">
        <v>399</v>
      </c>
      <c r="I115" s="222" t="s">
        <v>400</v>
      </c>
      <c r="J115" s="222"/>
      <c r="K115" s="229">
        <v>75000</v>
      </c>
      <c r="L115" s="869" t="s">
        <v>225</v>
      </c>
      <c r="M115" s="870"/>
      <c r="N115" s="870"/>
      <c r="O115" s="262"/>
    </row>
    <row r="116" spans="1:15" ht="15" customHeight="1" x14ac:dyDescent="0.25">
      <c r="A116" s="222"/>
      <c r="B116" s="222"/>
      <c r="C116" s="222"/>
      <c r="D116" s="222"/>
      <c r="E116" s="222"/>
      <c r="F116" s="424">
        <v>44067</v>
      </c>
      <c r="G116" s="291">
        <v>2524769</v>
      </c>
      <c r="H116" s="483" t="s">
        <v>34</v>
      </c>
      <c r="I116" s="291" t="s">
        <v>401</v>
      </c>
      <c r="J116" s="291"/>
      <c r="K116" s="295">
        <v>350000</v>
      </c>
      <c r="L116" s="871" t="s">
        <v>226</v>
      </c>
      <c r="M116" s="872"/>
      <c r="N116" s="600"/>
      <c r="O116" s="263"/>
    </row>
    <row r="117" spans="1:15" ht="15" customHeight="1" x14ac:dyDescent="0.25">
      <c r="A117" s="222"/>
      <c r="B117" s="222"/>
      <c r="C117" s="222"/>
      <c r="D117" s="222"/>
      <c r="E117" s="222"/>
      <c r="F117" s="424">
        <f>F116</f>
        <v>44067</v>
      </c>
      <c r="G117" s="291" t="s">
        <v>322</v>
      </c>
      <c r="H117" s="483" t="s">
        <v>402</v>
      </c>
      <c r="I117" s="291" t="s">
        <v>403</v>
      </c>
      <c r="J117" s="291"/>
      <c r="K117" s="523">
        <v>833246</v>
      </c>
      <c r="L117" s="869" t="s">
        <v>227</v>
      </c>
      <c r="M117" s="870"/>
      <c r="N117" s="262"/>
      <c r="O117" s="263"/>
    </row>
    <row r="118" spans="1:15" ht="15" customHeight="1" x14ac:dyDescent="0.25">
      <c r="A118" s="222"/>
      <c r="B118" s="222"/>
      <c r="C118" s="222"/>
      <c r="D118" s="222"/>
      <c r="E118" s="222"/>
      <c r="F118" s="424">
        <v>44067</v>
      </c>
      <c r="G118" s="291">
        <v>2524767</v>
      </c>
      <c r="H118" s="483" t="s">
        <v>109</v>
      </c>
      <c r="I118" s="484" t="s">
        <v>404</v>
      </c>
      <c r="J118" s="291"/>
      <c r="K118" s="295">
        <v>150000</v>
      </c>
      <c r="L118" s="869" t="s">
        <v>492</v>
      </c>
      <c r="M118" s="870"/>
      <c r="N118" s="262">
        <v>60000</v>
      </c>
      <c r="O118" s="263"/>
    </row>
    <row r="119" spans="1:15" x14ac:dyDescent="0.25">
      <c r="A119" s="222"/>
      <c r="B119" s="222"/>
      <c r="C119" s="222"/>
      <c r="D119" s="222"/>
      <c r="E119" s="222"/>
      <c r="F119" s="424">
        <v>44067</v>
      </c>
      <c r="G119" s="291">
        <v>2524764</v>
      </c>
      <c r="H119" s="483" t="s">
        <v>95</v>
      </c>
      <c r="I119" s="291" t="s">
        <v>405</v>
      </c>
      <c r="J119" s="291"/>
      <c r="K119" s="295">
        <v>175000</v>
      </c>
      <c r="L119" s="869"/>
      <c r="M119" s="870"/>
      <c r="N119" s="262">
        <v>49200</v>
      </c>
      <c r="O119" s="263"/>
    </row>
    <row r="120" spans="1:15" x14ac:dyDescent="0.25">
      <c r="A120" s="222"/>
      <c r="B120" s="222"/>
      <c r="C120" s="222"/>
      <c r="D120" s="222"/>
      <c r="E120" s="222"/>
      <c r="F120" s="424">
        <f t="shared" ref="F120:F121" si="2">F119</f>
        <v>44067</v>
      </c>
      <c r="G120" s="291">
        <v>2524770</v>
      </c>
      <c r="H120" s="483" t="s">
        <v>95</v>
      </c>
      <c r="I120" s="291" t="s">
        <v>406</v>
      </c>
      <c r="J120" s="291"/>
      <c r="K120" s="295">
        <v>175000</v>
      </c>
      <c r="L120" s="869"/>
      <c r="M120" s="870"/>
      <c r="N120" s="262">
        <v>36842</v>
      </c>
      <c r="O120" s="263"/>
    </row>
    <row r="121" spans="1:15" x14ac:dyDescent="0.25">
      <c r="A121" s="222"/>
      <c r="B121" s="222"/>
      <c r="C121" s="222"/>
      <c r="D121" s="222"/>
      <c r="E121" s="222"/>
      <c r="F121" s="424">
        <f t="shared" si="2"/>
        <v>44067</v>
      </c>
      <c r="G121" s="291">
        <v>25244772</v>
      </c>
      <c r="H121" s="483" t="s">
        <v>407</v>
      </c>
      <c r="I121" s="291" t="s">
        <v>408</v>
      </c>
      <c r="J121" s="291"/>
      <c r="K121" s="295">
        <v>1250000</v>
      </c>
      <c r="L121" s="869"/>
      <c r="M121" s="870"/>
      <c r="N121" s="262"/>
      <c r="O121" s="263"/>
    </row>
    <row r="122" spans="1:15" x14ac:dyDescent="0.25">
      <c r="A122" s="222"/>
      <c r="B122" s="222"/>
      <c r="C122" s="222"/>
      <c r="D122" s="222"/>
      <c r="E122" s="222"/>
      <c r="F122" s="424">
        <v>44067</v>
      </c>
      <c r="G122" s="291">
        <v>2524760</v>
      </c>
      <c r="H122" s="483" t="s">
        <v>409</v>
      </c>
      <c r="I122" s="291" t="s">
        <v>410</v>
      </c>
      <c r="J122" s="291"/>
      <c r="K122" s="295">
        <v>860000</v>
      </c>
      <c r="L122" s="268"/>
      <c r="M122" s="603"/>
      <c r="N122" s="269"/>
      <c r="O122" s="270">
        <f>SUM(N118:N120)</f>
        <v>146042</v>
      </c>
    </row>
    <row r="123" spans="1:15" ht="15" customHeight="1" thickBot="1" x14ac:dyDescent="0.3">
      <c r="A123" s="222"/>
      <c r="B123" s="222"/>
      <c r="C123" s="222"/>
      <c r="D123" s="222"/>
      <c r="E123" s="222"/>
      <c r="F123" s="424">
        <v>44071</v>
      </c>
      <c r="G123" s="291">
        <v>2524771</v>
      </c>
      <c r="H123" s="483" t="s">
        <v>39</v>
      </c>
      <c r="I123" s="291" t="s">
        <v>411</v>
      </c>
      <c r="J123" s="291"/>
      <c r="K123" s="295">
        <v>60000</v>
      </c>
      <c r="L123" s="876" t="s">
        <v>229</v>
      </c>
      <c r="M123" s="877"/>
      <c r="N123" s="877"/>
      <c r="O123" s="271">
        <f>O114-O122</f>
        <v>1948473</v>
      </c>
    </row>
    <row r="124" spans="1:15" ht="15.75" thickTop="1" x14ac:dyDescent="0.25">
      <c r="A124" s="222"/>
      <c r="B124" s="222"/>
      <c r="C124" s="222"/>
      <c r="D124" s="222"/>
      <c r="E124" s="222"/>
      <c r="F124" s="465">
        <v>44074</v>
      </c>
      <c r="G124" s="222"/>
      <c r="H124" s="483" t="s">
        <v>108</v>
      </c>
      <c r="I124" s="222" t="s">
        <v>416</v>
      </c>
      <c r="J124" s="222"/>
      <c r="K124" s="229">
        <v>15210</v>
      </c>
      <c r="L124" s="601"/>
      <c r="M124" s="602"/>
      <c r="N124" s="263"/>
      <c r="O124" s="263"/>
    </row>
    <row r="125" spans="1:15" x14ac:dyDescent="0.25">
      <c r="A125" s="222"/>
      <c r="B125" s="222"/>
      <c r="C125" s="222"/>
      <c r="D125" s="222"/>
      <c r="E125" s="222"/>
      <c r="F125" s="465">
        <v>44074</v>
      </c>
      <c r="G125" s="222"/>
      <c r="H125" s="483" t="s">
        <v>108</v>
      </c>
      <c r="I125" s="222" t="s">
        <v>417</v>
      </c>
      <c r="J125" s="222"/>
      <c r="K125" s="229">
        <v>11700</v>
      </c>
      <c r="L125" s="477"/>
      <c r="M125" s="554"/>
      <c r="N125" s="262"/>
      <c r="O125" s="263"/>
    </row>
    <row r="126" spans="1:15" x14ac:dyDescent="0.25">
      <c r="A126" s="222"/>
      <c r="B126" s="222"/>
      <c r="C126" s="222"/>
      <c r="D126" s="222"/>
      <c r="E126" s="222"/>
      <c r="F126" s="465">
        <v>44074</v>
      </c>
      <c r="G126" s="222"/>
      <c r="H126" s="483" t="s">
        <v>108</v>
      </c>
      <c r="I126" s="222" t="s">
        <v>417</v>
      </c>
      <c r="J126" s="222"/>
      <c r="K126" s="229">
        <v>100</v>
      </c>
      <c r="L126" s="477"/>
      <c r="M126" s="554"/>
      <c r="N126" s="262"/>
      <c r="O126" s="263"/>
    </row>
    <row r="127" spans="1:15" x14ac:dyDescent="0.25">
      <c r="A127" s="222"/>
      <c r="B127" s="222"/>
      <c r="C127" s="222"/>
      <c r="D127" s="222"/>
      <c r="E127" s="222"/>
      <c r="F127" s="465">
        <v>44074</v>
      </c>
      <c r="G127" s="222"/>
      <c r="H127" s="483" t="s">
        <v>108</v>
      </c>
      <c r="I127" s="222" t="s">
        <v>417</v>
      </c>
      <c r="J127" s="222"/>
      <c r="K127" s="229">
        <v>100</v>
      </c>
      <c r="L127" s="477"/>
      <c r="M127" s="561"/>
      <c r="N127" s="262"/>
      <c r="O127" s="263"/>
    </row>
    <row r="128" spans="1:15" x14ac:dyDescent="0.25">
      <c r="A128" s="222"/>
      <c r="B128" s="222"/>
      <c r="C128" s="222"/>
      <c r="D128" s="222"/>
      <c r="E128" s="222"/>
      <c r="F128" s="465">
        <v>44074</v>
      </c>
      <c r="G128" s="222"/>
      <c r="H128" s="483" t="s">
        <v>108</v>
      </c>
      <c r="I128" s="222" t="s">
        <v>418</v>
      </c>
      <c r="J128" s="222"/>
      <c r="K128" s="229">
        <v>15210</v>
      </c>
      <c r="L128" s="477"/>
      <c r="M128" s="561"/>
      <c r="N128" s="262"/>
      <c r="O128" s="263"/>
    </row>
    <row r="129" spans="1:15" x14ac:dyDescent="0.25">
      <c r="A129" s="222"/>
      <c r="B129" s="222"/>
      <c r="C129" s="222"/>
      <c r="D129" s="222"/>
      <c r="E129" s="222"/>
      <c r="F129" s="567">
        <v>44067</v>
      </c>
      <c r="G129" s="568"/>
      <c r="H129" s="569"/>
      <c r="I129" s="568" t="s">
        <v>326</v>
      </c>
      <c r="J129" s="568"/>
      <c r="K129" s="570">
        <v>49200</v>
      </c>
    </row>
    <row r="130" spans="1:15" x14ac:dyDescent="0.25">
      <c r="A130" s="222"/>
      <c r="B130" s="222"/>
      <c r="C130" s="222"/>
      <c r="D130" s="222"/>
      <c r="E130" s="222"/>
      <c r="F130" s="567">
        <v>44067</v>
      </c>
      <c r="G130" s="568"/>
      <c r="H130" s="569"/>
      <c r="I130" s="568" t="s">
        <v>327</v>
      </c>
      <c r="J130" s="568"/>
      <c r="K130" s="570">
        <v>36842</v>
      </c>
    </row>
    <row r="131" spans="1:15" ht="8.1" customHeight="1" x14ac:dyDescent="0.25">
      <c r="A131" s="222"/>
      <c r="B131" s="222"/>
      <c r="C131" s="222"/>
      <c r="D131" s="222"/>
      <c r="E131" s="222"/>
      <c r="F131" s="465"/>
      <c r="G131" s="222"/>
      <c r="H131" s="418"/>
      <c r="I131" s="222"/>
      <c r="J131" s="222"/>
      <c r="K131" s="229"/>
      <c r="L131" s="869" t="s">
        <v>225</v>
      </c>
      <c r="M131" s="870"/>
      <c r="N131" s="870"/>
      <c r="O131" s="614"/>
    </row>
    <row r="132" spans="1:15" x14ac:dyDescent="0.25">
      <c r="A132" s="465">
        <v>44103</v>
      </c>
      <c r="B132" s="222" t="s">
        <v>441</v>
      </c>
      <c r="C132" s="222"/>
      <c r="D132" s="606">
        <v>19880286</v>
      </c>
      <c r="E132" s="222"/>
      <c r="F132" s="465">
        <v>44088</v>
      </c>
      <c r="G132" s="609">
        <v>2524759</v>
      </c>
      <c r="H132" s="610" t="s">
        <v>407</v>
      </c>
      <c r="I132" s="609" t="s">
        <v>408</v>
      </c>
      <c r="J132" s="609"/>
      <c r="K132" s="613">
        <v>1675000</v>
      </c>
      <c r="L132" s="513"/>
      <c r="M132" s="595"/>
      <c r="N132" s="596"/>
      <c r="O132" s="614">
        <v>18105048</v>
      </c>
    </row>
    <row r="133" spans="1:15" x14ac:dyDescent="0.25">
      <c r="A133" s="465"/>
      <c r="B133" s="222"/>
      <c r="C133" s="222"/>
      <c r="D133" s="606"/>
      <c r="E133" s="222"/>
      <c r="F133" s="465">
        <v>44095</v>
      </c>
      <c r="G133" s="222">
        <v>2524773</v>
      </c>
      <c r="H133" s="418" t="s">
        <v>409</v>
      </c>
      <c r="I133" s="222" t="s">
        <v>410</v>
      </c>
      <c r="J133" s="222"/>
      <c r="K133" s="229">
        <v>252555</v>
      </c>
      <c r="L133" s="871" t="s">
        <v>226</v>
      </c>
      <c r="M133" s="872"/>
      <c r="N133" s="262"/>
      <c r="O133" s="614"/>
    </row>
    <row r="134" spans="1:15" x14ac:dyDescent="0.25">
      <c r="A134" s="222"/>
      <c r="B134" s="222"/>
      <c r="C134" s="222"/>
      <c r="D134" s="222"/>
      <c r="E134" s="222"/>
      <c r="F134" s="608">
        <v>44097</v>
      </c>
      <c r="G134" s="609" t="s">
        <v>322</v>
      </c>
      <c r="H134" s="610" t="s">
        <v>402</v>
      </c>
      <c r="I134" s="609" t="s">
        <v>464</v>
      </c>
      <c r="J134" s="609"/>
      <c r="K134" s="214">
        <v>1183246</v>
      </c>
      <c r="L134" s="869"/>
      <c r="M134" s="870"/>
      <c r="N134" s="262"/>
      <c r="O134" s="614"/>
    </row>
    <row r="135" spans="1:15" x14ac:dyDescent="0.25">
      <c r="A135" s="222"/>
      <c r="B135" s="222"/>
      <c r="C135" s="222"/>
      <c r="D135" s="222"/>
      <c r="E135" s="222"/>
      <c r="F135" s="608">
        <v>44097</v>
      </c>
      <c r="G135" s="609" t="s">
        <v>442</v>
      </c>
      <c r="H135" s="610" t="s">
        <v>136</v>
      </c>
      <c r="I135" s="609" t="s">
        <v>443</v>
      </c>
      <c r="J135" s="609"/>
      <c r="K135" s="214">
        <v>512500</v>
      </c>
      <c r="L135" s="869" t="s">
        <v>227</v>
      </c>
      <c r="M135" s="870"/>
      <c r="N135" s="262"/>
      <c r="O135" s="614"/>
    </row>
    <row r="136" spans="1:15" x14ac:dyDescent="0.25">
      <c r="A136" s="222"/>
      <c r="B136" s="222"/>
      <c r="C136" s="222"/>
      <c r="D136" s="222"/>
      <c r="E136" s="222"/>
      <c r="F136" s="608">
        <v>44097</v>
      </c>
      <c r="G136" s="609">
        <v>2524777</v>
      </c>
      <c r="H136" s="610" t="s">
        <v>109</v>
      </c>
      <c r="I136" s="611" t="s">
        <v>445</v>
      </c>
      <c r="J136" s="609"/>
      <c r="K136" s="612">
        <v>150000</v>
      </c>
      <c r="L136" s="869" t="s">
        <v>455</v>
      </c>
      <c r="M136" s="870"/>
      <c r="N136" s="262">
        <v>150000</v>
      </c>
      <c r="O136" s="614"/>
    </row>
    <row r="137" spans="1:15" x14ac:dyDescent="0.25">
      <c r="A137" s="222"/>
      <c r="B137" s="222"/>
      <c r="C137" s="222"/>
      <c r="D137" s="222"/>
      <c r="E137" s="222"/>
      <c r="F137" s="608">
        <v>44097</v>
      </c>
      <c r="G137" s="609">
        <v>2524774</v>
      </c>
      <c r="H137" s="610" t="s">
        <v>95</v>
      </c>
      <c r="I137" s="609" t="s">
        <v>444</v>
      </c>
      <c r="J137" s="609"/>
      <c r="K137" s="612">
        <v>175000</v>
      </c>
      <c r="L137" s="869" t="s">
        <v>456</v>
      </c>
      <c r="M137" s="870"/>
      <c r="N137" s="262">
        <v>175000</v>
      </c>
      <c r="O137" s="614"/>
    </row>
    <row r="138" spans="1:15" x14ac:dyDescent="0.25">
      <c r="A138" s="222"/>
      <c r="B138" s="222"/>
      <c r="C138" s="222"/>
      <c r="D138" s="222"/>
      <c r="E138" s="222"/>
      <c r="F138" s="608">
        <f>F137</f>
        <v>44097</v>
      </c>
      <c r="G138" s="609">
        <v>2524779</v>
      </c>
      <c r="H138" s="610" t="s">
        <v>95</v>
      </c>
      <c r="I138" s="609" t="s">
        <v>465</v>
      </c>
      <c r="J138" s="609"/>
      <c r="K138" s="612">
        <v>175000</v>
      </c>
      <c r="L138" s="869" t="s">
        <v>457</v>
      </c>
      <c r="M138" s="870"/>
      <c r="N138" s="262">
        <v>175000</v>
      </c>
      <c r="O138" s="614"/>
    </row>
    <row r="139" spans="1:15" x14ac:dyDescent="0.25">
      <c r="A139" s="222"/>
      <c r="B139" s="222"/>
      <c r="C139" s="222"/>
      <c r="D139" s="222"/>
      <c r="E139" s="222"/>
      <c r="F139" s="608">
        <f>F138</f>
        <v>44097</v>
      </c>
      <c r="G139" s="609">
        <v>2524781</v>
      </c>
      <c r="H139" s="610" t="s">
        <v>130</v>
      </c>
      <c r="I139" s="609" t="s">
        <v>497</v>
      </c>
      <c r="J139" s="609"/>
      <c r="K139" s="612">
        <v>700000</v>
      </c>
      <c r="L139" s="477" t="s">
        <v>458</v>
      </c>
      <c r="M139" s="595"/>
      <c r="N139" s="262">
        <v>700000</v>
      </c>
      <c r="O139" s="614"/>
    </row>
    <row r="140" spans="1:15" x14ac:dyDescent="0.25">
      <c r="A140" s="222"/>
      <c r="B140" s="222"/>
      <c r="C140" s="222"/>
      <c r="D140" s="222"/>
      <c r="E140" s="222"/>
      <c r="F140" s="608">
        <v>44097</v>
      </c>
      <c r="G140" s="609">
        <v>2524782</v>
      </c>
      <c r="H140" s="610" t="s">
        <v>407</v>
      </c>
      <c r="I140" s="609" t="s">
        <v>408</v>
      </c>
      <c r="J140" s="609"/>
      <c r="K140" s="612">
        <v>1000000</v>
      </c>
      <c r="L140" s="614" t="s">
        <v>459</v>
      </c>
      <c r="M140" s="614"/>
      <c r="N140" s="262">
        <v>1000000</v>
      </c>
      <c r="O140" s="614"/>
    </row>
    <row r="141" spans="1:15" x14ac:dyDescent="0.25">
      <c r="A141" s="222"/>
      <c r="B141" s="222"/>
      <c r="C141" s="222"/>
      <c r="D141" s="222"/>
      <c r="E141" s="222"/>
      <c r="F141" s="608">
        <v>44097</v>
      </c>
      <c r="G141" s="609">
        <v>2524780</v>
      </c>
      <c r="H141" s="610" t="s">
        <v>39</v>
      </c>
      <c r="I141" s="609" t="s">
        <v>449</v>
      </c>
      <c r="J141" s="609"/>
      <c r="K141" s="612">
        <v>30000</v>
      </c>
      <c r="L141" s="614" t="s">
        <v>460</v>
      </c>
      <c r="M141" s="614"/>
      <c r="N141" s="262">
        <v>30000</v>
      </c>
      <c r="O141" s="614"/>
    </row>
    <row r="142" spans="1:15" x14ac:dyDescent="0.25">
      <c r="A142" s="222"/>
      <c r="B142" s="222"/>
      <c r="C142" s="222"/>
      <c r="D142" s="222"/>
      <c r="E142" s="222"/>
      <c r="F142" s="608">
        <v>44097</v>
      </c>
      <c r="G142" s="609">
        <v>2524785</v>
      </c>
      <c r="H142" s="610" t="s">
        <v>447</v>
      </c>
      <c r="I142" s="609" t="s">
        <v>448</v>
      </c>
      <c r="J142" s="609"/>
      <c r="K142" s="612">
        <v>389130</v>
      </c>
      <c r="L142" s="614" t="s">
        <v>461</v>
      </c>
      <c r="M142" s="614"/>
      <c r="N142" s="262">
        <v>389130</v>
      </c>
      <c r="O142" s="614"/>
    </row>
    <row r="143" spans="1:15" x14ac:dyDescent="0.25">
      <c r="A143" s="222"/>
      <c r="B143" s="222"/>
      <c r="C143" s="222"/>
      <c r="D143" s="222"/>
      <c r="E143" s="222"/>
      <c r="F143" s="608">
        <v>44097</v>
      </c>
      <c r="G143" s="609">
        <v>2524776</v>
      </c>
      <c r="H143" s="610"/>
      <c r="I143" s="609" t="s">
        <v>326</v>
      </c>
      <c r="J143" s="609"/>
      <c r="K143" s="613">
        <v>49200</v>
      </c>
      <c r="L143" s="614" t="s">
        <v>462</v>
      </c>
      <c r="M143" s="614"/>
      <c r="N143" s="262">
        <v>49200</v>
      </c>
      <c r="O143" s="614"/>
    </row>
    <row r="144" spans="1:15" x14ac:dyDescent="0.25">
      <c r="A144" s="222"/>
      <c r="B144" s="222"/>
      <c r="C144" s="222"/>
      <c r="D144" s="222"/>
      <c r="E144" s="222"/>
      <c r="F144" s="608">
        <v>44097</v>
      </c>
      <c r="G144" s="609">
        <v>2524775</v>
      </c>
      <c r="H144" s="610"/>
      <c r="I144" s="609" t="s">
        <v>327</v>
      </c>
      <c r="J144" s="609"/>
      <c r="K144" s="613">
        <v>36842</v>
      </c>
      <c r="L144" s="614" t="s">
        <v>463</v>
      </c>
      <c r="M144" s="614"/>
      <c r="N144" s="262">
        <v>36842</v>
      </c>
      <c r="O144" s="614"/>
    </row>
    <row r="145" spans="1:15" x14ac:dyDescent="0.25">
      <c r="A145" s="222"/>
      <c r="B145" s="222"/>
      <c r="C145" s="222"/>
      <c r="D145" s="222"/>
      <c r="E145" s="222"/>
      <c r="F145" s="608">
        <v>44104</v>
      </c>
      <c r="G145" s="609"/>
      <c r="H145" s="610" t="s">
        <v>108</v>
      </c>
      <c r="I145" s="609" t="s">
        <v>446</v>
      </c>
      <c r="J145" s="609"/>
      <c r="K145" s="613">
        <v>15210</v>
      </c>
      <c r="L145" s="614"/>
      <c r="M145" s="614"/>
      <c r="N145" s="614"/>
      <c r="O145" s="623">
        <f>SUM(N136:N144)</f>
        <v>2705172</v>
      </c>
    </row>
    <row r="146" spans="1:15" x14ac:dyDescent="0.25">
      <c r="A146" s="222"/>
      <c r="B146" s="222"/>
      <c r="C146" s="222"/>
      <c r="D146" s="222"/>
      <c r="E146" s="222"/>
      <c r="F146" s="608">
        <v>44104</v>
      </c>
      <c r="G146" s="609"/>
      <c r="H146" s="610" t="s">
        <v>108</v>
      </c>
      <c r="I146" s="609" t="s">
        <v>450</v>
      </c>
      <c r="J146" s="609"/>
      <c r="K146" s="613">
        <v>46800</v>
      </c>
      <c r="L146" s="614"/>
      <c r="M146" s="614"/>
      <c r="N146" s="614"/>
      <c r="O146" s="614"/>
    </row>
    <row r="147" spans="1:15" x14ac:dyDescent="0.25">
      <c r="A147" s="222"/>
      <c r="B147" s="222"/>
      <c r="C147" s="222"/>
      <c r="D147" s="222"/>
      <c r="E147" s="222"/>
      <c r="F147" s="608">
        <v>44104</v>
      </c>
      <c r="G147" s="609"/>
      <c r="H147" s="610" t="s">
        <v>108</v>
      </c>
      <c r="I147" s="609" t="s">
        <v>452</v>
      </c>
      <c r="J147" s="609"/>
      <c r="K147" s="613">
        <v>23400</v>
      </c>
      <c r="L147" s="869" t="s">
        <v>414</v>
      </c>
      <c r="M147" s="870"/>
      <c r="N147" s="624">
        <f>O132-O145</f>
        <v>15399876</v>
      </c>
      <c r="O147" s="614"/>
    </row>
    <row r="148" spans="1:15" ht="6.95" customHeight="1" x14ac:dyDescent="0.25">
      <c r="A148" s="222"/>
      <c r="B148" s="222"/>
      <c r="C148" s="222"/>
      <c r="D148" s="222"/>
      <c r="E148" s="222"/>
      <c r="F148" s="608"/>
      <c r="G148" s="609"/>
      <c r="H148" s="610"/>
      <c r="I148" s="609"/>
      <c r="J148" s="609"/>
      <c r="K148" s="613"/>
      <c r="L148" s="477"/>
      <c r="M148" s="628"/>
      <c r="N148" s="624"/>
      <c r="O148" s="614"/>
    </row>
    <row r="149" spans="1:15" x14ac:dyDescent="0.25">
      <c r="A149" s="222"/>
      <c r="B149" s="222"/>
      <c r="C149" s="222"/>
      <c r="D149" s="222"/>
      <c r="E149" s="222"/>
      <c r="F149" s="608">
        <v>44105</v>
      </c>
      <c r="G149" s="609"/>
      <c r="H149" s="610"/>
      <c r="I149" s="609" t="s">
        <v>143</v>
      </c>
      <c r="J149" s="609"/>
      <c r="K149" s="613">
        <v>130000</v>
      </c>
      <c r="L149" s="873"/>
      <c r="M149" s="874"/>
      <c r="N149" s="548"/>
      <c r="O149" s="512"/>
    </row>
    <row r="150" spans="1:15" x14ac:dyDescent="0.25">
      <c r="A150" s="222"/>
      <c r="B150" s="222"/>
      <c r="C150" s="222"/>
      <c r="D150" s="222"/>
      <c r="E150" s="222"/>
      <c r="F150" s="608">
        <v>44105</v>
      </c>
      <c r="G150" s="609">
        <v>2524784</v>
      </c>
      <c r="H150" s="610"/>
      <c r="I150" s="609" t="s">
        <v>585</v>
      </c>
      <c r="J150" s="609"/>
      <c r="K150" s="613">
        <v>587500</v>
      </c>
      <c r="L150" s="869" t="s">
        <v>225</v>
      </c>
      <c r="M150" s="870"/>
      <c r="N150" s="870"/>
      <c r="O150" s="614"/>
    </row>
    <row r="151" spans="1:15" x14ac:dyDescent="0.25">
      <c r="A151" s="222"/>
      <c r="B151" s="222"/>
      <c r="C151" s="222"/>
      <c r="D151" s="222"/>
      <c r="E151" s="222"/>
      <c r="F151" s="608">
        <v>44109</v>
      </c>
      <c r="G151" s="609"/>
      <c r="H151" s="610"/>
      <c r="I151" s="609" t="s">
        <v>585</v>
      </c>
      <c r="J151" s="609"/>
      <c r="K151" s="613">
        <v>225000</v>
      </c>
      <c r="L151" s="513"/>
      <c r="M151" s="640"/>
      <c r="N151" s="641"/>
      <c r="O151" s="614">
        <v>11623316</v>
      </c>
    </row>
    <row r="152" spans="1:15" x14ac:dyDescent="0.25">
      <c r="A152" s="222"/>
      <c r="B152" s="222"/>
      <c r="C152" s="222"/>
      <c r="D152" s="222"/>
      <c r="E152" s="222"/>
      <c r="F152" s="567">
        <v>44126</v>
      </c>
      <c r="G152" s="568" t="s">
        <v>322</v>
      </c>
      <c r="H152" s="569" t="s">
        <v>402</v>
      </c>
      <c r="I152" s="568" t="s">
        <v>578</v>
      </c>
      <c r="J152" s="568"/>
      <c r="K152" s="328">
        <v>792500</v>
      </c>
      <c r="L152" s="871" t="s">
        <v>226</v>
      </c>
      <c r="M152" s="872"/>
      <c r="N152" s="262"/>
      <c r="O152" s="614"/>
    </row>
    <row r="153" spans="1:15" x14ac:dyDescent="0.25">
      <c r="A153" s="222"/>
      <c r="B153" s="222"/>
      <c r="C153" s="222"/>
      <c r="D153" s="222"/>
      <c r="E153" s="222"/>
      <c r="F153" s="608">
        <v>44126</v>
      </c>
      <c r="G153" s="609">
        <v>2524789</v>
      </c>
      <c r="H153" s="610" t="s">
        <v>109</v>
      </c>
      <c r="I153" s="611" t="s">
        <v>580</v>
      </c>
      <c r="J153" s="609"/>
      <c r="K153" s="612">
        <v>150000</v>
      </c>
      <c r="L153" s="869"/>
      <c r="M153" s="870"/>
      <c r="N153" s="262"/>
      <c r="O153" s="614"/>
    </row>
    <row r="154" spans="1:15" x14ac:dyDescent="0.25">
      <c r="A154" s="222"/>
      <c r="B154" s="222"/>
      <c r="C154" s="222"/>
      <c r="D154" s="222"/>
      <c r="E154" s="222"/>
      <c r="F154" s="608">
        <v>44126</v>
      </c>
      <c r="G154" s="609">
        <v>2524786</v>
      </c>
      <c r="H154" s="610" t="s">
        <v>95</v>
      </c>
      <c r="I154" s="609" t="s">
        <v>149</v>
      </c>
      <c r="J154" s="609"/>
      <c r="K154" s="612">
        <v>175000</v>
      </c>
      <c r="L154" s="869" t="s">
        <v>227</v>
      </c>
      <c r="M154" s="870"/>
      <c r="N154" s="262"/>
      <c r="O154" s="614"/>
    </row>
    <row r="155" spans="1:15" x14ac:dyDescent="0.25">
      <c r="A155" s="222"/>
      <c r="B155" s="222"/>
      <c r="C155" s="222"/>
      <c r="D155" s="222"/>
      <c r="E155" s="222"/>
      <c r="F155" s="608">
        <f>F154</f>
        <v>44126</v>
      </c>
      <c r="G155" s="609">
        <v>2524791</v>
      </c>
      <c r="H155" s="610" t="s">
        <v>95</v>
      </c>
      <c r="I155" s="609" t="s">
        <v>579</v>
      </c>
      <c r="J155" s="609"/>
      <c r="K155" s="612">
        <v>175000</v>
      </c>
      <c r="L155" s="869" t="s">
        <v>586</v>
      </c>
      <c r="M155" s="870"/>
      <c r="N155" s="262">
        <v>150000</v>
      </c>
      <c r="O155" s="614"/>
    </row>
    <row r="156" spans="1:15" x14ac:dyDescent="0.25">
      <c r="A156" s="222"/>
      <c r="B156" s="222"/>
      <c r="C156" s="222"/>
      <c r="D156" s="222"/>
      <c r="E156" s="222"/>
      <c r="F156" s="608">
        <v>44126</v>
      </c>
      <c r="G156" s="609">
        <v>2524792</v>
      </c>
      <c r="H156" s="610"/>
      <c r="I156" s="609" t="s">
        <v>581</v>
      </c>
      <c r="J156" s="609"/>
      <c r="K156" s="612">
        <v>1320000</v>
      </c>
      <c r="L156" s="869"/>
      <c r="M156" s="870"/>
      <c r="N156" s="262"/>
      <c r="O156" s="614"/>
    </row>
    <row r="157" spans="1:15" x14ac:dyDescent="0.25">
      <c r="A157" s="222"/>
      <c r="B157" s="222"/>
      <c r="C157" s="222"/>
      <c r="D157" s="222"/>
      <c r="E157" s="222"/>
      <c r="F157" s="608">
        <v>44126</v>
      </c>
      <c r="G157" s="609">
        <v>2524788</v>
      </c>
      <c r="H157" s="610" t="s">
        <v>257</v>
      </c>
      <c r="I157" s="609" t="s">
        <v>582</v>
      </c>
      <c r="J157" s="609"/>
      <c r="K157" s="612">
        <v>49200</v>
      </c>
      <c r="L157" s="869"/>
      <c r="M157" s="870"/>
      <c r="N157" s="262"/>
      <c r="O157" s="614"/>
    </row>
    <row r="158" spans="1:15" x14ac:dyDescent="0.25">
      <c r="A158" s="222"/>
      <c r="B158" s="222"/>
      <c r="C158" s="222"/>
      <c r="D158" s="222"/>
      <c r="E158" s="222"/>
      <c r="F158" s="608">
        <v>44126</v>
      </c>
      <c r="G158" s="609">
        <v>2524787</v>
      </c>
      <c r="H158" s="610" t="s">
        <v>257</v>
      </c>
      <c r="I158" s="609" t="s">
        <v>583</v>
      </c>
      <c r="J158" s="609"/>
      <c r="K158" s="612">
        <v>36842</v>
      </c>
      <c r="L158" s="614"/>
      <c r="M158" s="614"/>
      <c r="N158" s="262"/>
      <c r="O158" s="614"/>
    </row>
    <row r="159" spans="1:15" x14ac:dyDescent="0.25">
      <c r="A159" s="222"/>
      <c r="B159" s="222"/>
      <c r="C159" s="222"/>
      <c r="D159" s="222"/>
      <c r="E159" s="222"/>
      <c r="F159" s="608">
        <v>44131</v>
      </c>
      <c r="G159" s="609"/>
      <c r="H159" s="610" t="s">
        <v>108</v>
      </c>
      <c r="I159" s="609" t="s">
        <v>598</v>
      </c>
      <c r="J159" s="609"/>
      <c r="K159" s="613">
        <v>5850</v>
      </c>
      <c r="L159" s="614" t="s">
        <v>462</v>
      </c>
      <c r="M159" s="614"/>
      <c r="N159" s="262">
        <v>49200</v>
      </c>
      <c r="O159" s="614"/>
    </row>
    <row r="160" spans="1:15" x14ac:dyDescent="0.25">
      <c r="A160" s="222"/>
      <c r="B160" s="222"/>
      <c r="C160" s="222"/>
      <c r="D160" s="222"/>
      <c r="E160" s="222"/>
      <c r="F160" s="608">
        <v>44132</v>
      </c>
      <c r="G160" s="609"/>
      <c r="H160" s="610" t="s">
        <v>108</v>
      </c>
      <c r="I160" s="609" t="s">
        <v>584</v>
      </c>
      <c r="J160" s="609"/>
      <c r="K160" s="613">
        <v>500</v>
      </c>
      <c r="L160" s="614" t="s">
        <v>463</v>
      </c>
      <c r="M160" s="614"/>
      <c r="N160" s="262">
        <v>36842</v>
      </c>
      <c r="O160" s="614"/>
    </row>
    <row r="161" spans="1:15" x14ac:dyDescent="0.25">
      <c r="A161" s="222"/>
      <c r="B161" s="222"/>
      <c r="C161" s="222"/>
      <c r="D161" s="222"/>
      <c r="E161" s="222"/>
      <c r="F161" s="608">
        <v>44134</v>
      </c>
      <c r="G161" s="609"/>
      <c r="H161" s="610" t="s">
        <v>108</v>
      </c>
      <c r="I161" s="609" t="s">
        <v>446</v>
      </c>
      <c r="J161" s="609"/>
      <c r="K161" s="613">
        <v>15210</v>
      </c>
      <c r="L161" s="614"/>
      <c r="M161" s="614"/>
      <c r="N161" s="614"/>
      <c r="O161" s="623">
        <f>SUM(N155:N160)</f>
        <v>236042</v>
      </c>
    </row>
    <row r="162" spans="1:15" x14ac:dyDescent="0.25">
      <c r="A162" s="222"/>
      <c r="B162" s="222"/>
      <c r="C162" s="222"/>
      <c r="D162" s="222"/>
      <c r="E162" s="222"/>
      <c r="F162" s="608"/>
      <c r="G162" s="609"/>
      <c r="H162" s="610"/>
      <c r="I162" s="609"/>
      <c r="J162" s="609"/>
      <c r="K162" s="613">
        <f>SUM(K149:K161)</f>
        <v>3662602</v>
      </c>
      <c r="L162" s="614"/>
      <c r="M162" s="614"/>
      <c r="N162" s="614"/>
      <c r="O162" s="623"/>
    </row>
    <row r="163" spans="1:15" x14ac:dyDescent="0.25">
      <c r="A163" s="222"/>
      <c r="B163" s="222"/>
      <c r="C163" s="222"/>
      <c r="D163" s="222"/>
      <c r="E163" s="222"/>
      <c r="F163" s="253"/>
      <c r="G163" s="266"/>
      <c r="H163" s="260"/>
      <c r="I163" s="252" t="s">
        <v>348</v>
      </c>
      <c r="J163" s="267"/>
      <c r="K163" s="254">
        <f>SUM(K11:K161)</f>
        <v>47371247</v>
      </c>
      <c r="L163" s="614"/>
      <c r="M163" s="614"/>
      <c r="N163" s="614"/>
      <c r="O163" s="614"/>
    </row>
    <row r="164" spans="1:15" x14ac:dyDescent="0.25">
      <c r="A164" s="222"/>
      <c r="B164" s="222"/>
      <c r="C164" s="222"/>
      <c r="D164" s="607">
        <f>SUM(D9:D144)</f>
        <v>59108521</v>
      </c>
      <c r="E164" s="222"/>
      <c r="F164" s="253"/>
      <c r="G164" s="266"/>
      <c r="H164" s="260"/>
      <c r="I164" s="252" t="s">
        <v>228</v>
      </c>
      <c r="J164" s="267"/>
      <c r="K164" s="280">
        <f>D164-K163</f>
        <v>11737274</v>
      </c>
      <c r="L164" s="869" t="s">
        <v>414</v>
      </c>
      <c r="M164" s="870"/>
      <c r="N164" s="624">
        <f>O151-O161</f>
        <v>11387274</v>
      </c>
      <c r="O164" s="614"/>
    </row>
    <row r="165" spans="1:15" x14ac:dyDescent="0.25">
      <c r="A165" s="222"/>
      <c r="B165" s="222"/>
      <c r="C165" s="222"/>
      <c r="D165" s="222"/>
      <c r="E165" s="222"/>
      <c r="F165" s="253"/>
      <c r="G165" s="266"/>
      <c r="H165" s="260"/>
      <c r="I165" s="257"/>
      <c r="J165" s="267"/>
      <c r="K165" s="254">
        <f>D100</f>
        <v>0</v>
      </c>
    </row>
    <row r="166" spans="1:15" x14ac:dyDescent="0.25">
      <c r="K166" s="1">
        <f>11737274-11696528</f>
        <v>40746</v>
      </c>
    </row>
    <row r="168" spans="1:15" x14ac:dyDescent="0.25">
      <c r="J168" s="467"/>
    </row>
    <row r="169" spans="1:15" x14ac:dyDescent="0.25">
      <c r="J169" s="467"/>
      <c r="K169" s="556"/>
    </row>
    <row r="170" spans="1:15" x14ac:dyDescent="0.25">
      <c r="J170" s="467"/>
      <c r="K170" s="556"/>
    </row>
    <row r="171" spans="1:15" x14ac:dyDescent="0.25">
      <c r="J171" s="467"/>
    </row>
  </sheetData>
  <sortState xmlns:xlrd2="http://schemas.microsoft.com/office/spreadsheetml/2017/richdata2" ref="F149:K162">
    <sortCondition ref="F149:F162"/>
  </sortState>
  <mergeCells count="103">
    <mergeCell ref="L164:M164"/>
    <mergeCell ref="L153:M153"/>
    <mergeCell ref="L154:M154"/>
    <mergeCell ref="L155:M155"/>
    <mergeCell ref="L156:M156"/>
    <mergeCell ref="L157:M157"/>
    <mergeCell ref="L33:M33"/>
    <mergeCell ref="L34:M34"/>
    <mergeCell ref="L114:M114"/>
    <mergeCell ref="L115:N115"/>
    <mergeCell ref="L123:N123"/>
    <mergeCell ref="L94:N94"/>
    <mergeCell ref="L90:M90"/>
    <mergeCell ref="L92:M92"/>
    <mergeCell ref="L100:N100"/>
    <mergeCell ref="L99:M99"/>
    <mergeCell ref="L118:M118"/>
    <mergeCell ref="L119:M119"/>
    <mergeCell ref="L120:M120"/>
    <mergeCell ref="L121:M121"/>
    <mergeCell ref="L72:M72"/>
    <mergeCell ref="L73:M73"/>
    <mergeCell ref="L74:M74"/>
    <mergeCell ref="L75:M75"/>
    <mergeCell ref="L68:N68"/>
    <mergeCell ref="L69:M69"/>
    <mergeCell ref="L70:M70"/>
    <mergeCell ref="L71:M71"/>
    <mergeCell ref="L60:M60"/>
    <mergeCell ref="L61:M61"/>
    <mergeCell ref="L62:M62"/>
    <mergeCell ref="L63:M63"/>
    <mergeCell ref="L65:N65"/>
    <mergeCell ref="L59:M59"/>
    <mergeCell ref="L43:M43"/>
    <mergeCell ref="L44:M44"/>
    <mergeCell ref="L45:M45"/>
    <mergeCell ref="L46:M46"/>
    <mergeCell ref="L48:N48"/>
    <mergeCell ref="L41:M41"/>
    <mergeCell ref="L42:M42"/>
    <mergeCell ref="L56:O56"/>
    <mergeCell ref="L57:N57"/>
    <mergeCell ref="L58:M58"/>
    <mergeCell ref="L39:N39"/>
    <mergeCell ref="L40:M40"/>
    <mergeCell ref="L23:O23"/>
    <mergeCell ref="L24:N24"/>
    <mergeCell ref="L25:M25"/>
    <mergeCell ref="L26:M26"/>
    <mergeCell ref="L27:M27"/>
    <mergeCell ref="L28:M28"/>
    <mergeCell ref="L29:M29"/>
    <mergeCell ref="L30:M30"/>
    <mergeCell ref="L36:N36"/>
    <mergeCell ref="L31:M31"/>
    <mergeCell ref="L32:M32"/>
    <mergeCell ref="L85:M85"/>
    <mergeCell ref="L91:M91"/>
    <mergeCell ref="L86:M86"/>
    <mergeCell ref="L87:M87"/>
    <mergeCell ref="A1:O1"/>
    <mergeCell ref="A2:Q2"/>
    <mergeCell ref="D6:E6"/>
    <mergeCell ref="L79:N79"/>
    <mergeCell ref="L11:O11"/>
    <mergeCell ref="L12:N12"/>
    <mergeCell ref="L13:M13"/>
    <mergeCell ref="L14:M14"/>
    <mergeCell ref="L15:M15"/>
    <mergeCell ref="L16:M16"/>
    <mergeCell ref="L17:M17"/>
    <mergeCell ref="L18:M18"/>
    <mergeCell ref="L82:N82"/>
    <mergeCell ref="L88:M88"/>
    <mergeCell ref="L89:M89"/>
    <mergeCell ref="L83:M83"/>
    <mergeCell ref="L84:M84"/>
    <mergeCell ref="L19:M19"/>
    <mergeCell ref="L21:N21"/>
    <mergeCell ref="L38:O38"/>
    <mergeCell ref="L116:M116"/>
    <mergeCell ref="L117:M117"/>
    <mergeCell ref="M96:O96"/>
    <mergeCell ref="L101:M101"/>
    <mergeCell ref="L102:M102"/>
    <mergeCell ref="L111:M111"/>
    <mergeCell ref="L103:M103"/>
    <mergeCell ref="L104:M104"/>
    <mergeCell ref="L105:M105"/>
    <mergeCell ref="L106:M106"/>
    <mergeCell ref="L108:N108"/>
    <mergeCell ref="L131:N131"/>
    <mergeCell ref="L133:M133"/>
    <mergeCell ref="L134:M134"/>
    <mergeCell ref="L135:M135"/>
    <mergeCell ref="L136:M136"/>
    <mergeCell ref="L152:M152"/>
    <mergeCell ref="L149:M149"/>
    <mergeCell ref="L137:M137"/>
    <mergeCell ref="L138:M138"/>
    <mergeCell ref="L147:M147"/>
    <mergeCell ref="L150:N150"/>
  </mergeCells>
  <dataValidations count="1">
    <dataValidation type="list" allowBlank="1" showInputMessage="1" showErrorMessage="1" sqref="H25" xr:uid="{00000000-0002-0000-0900-000000000000}">
      <formula1>$E$17:$K$17</formula1>
    </dataValidation>
  </dataValidations>
  <pageMargins left="0.15748031496062992" right="0.15748031496062992" top="0.23622047244094491" bottom="0.23622047244094491" header="0.15748031496062992" footer="0.15748031496062992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79"/>
  <sheetViews>
    <sheetView topLeftCell="C46" zoomScale="80" zoomScaleNormal="80" workbookViewId="0">
      <selection activeCell="J73" sqref="J73:Q73"/>
    </sheetView>
  </sheetViews>
  <sheetFormatPr baseColWidth="10" defaultColWidth="11.42578125" defaultRowHeight="15" x14ac:dyDescent="0.25"/>
  <cols>
    <col min="1" max="1" width="12" style="2" bestFit="1" customWidth="1"/>
    <col min="2" max="2" width="14.42578125" style="2" bestFit="1" customWidth="1"/>
    <col min="3" max="3" width="38.85546875" style="2" customWidth="1"/>
    <col min="4" max="4" width="11.42578125" style="2"/>
    <col min="5" max="5" width="12.28515625" style="2" customWidth="1"/>
    <col min="6" max="6" width="11.42578125" style="2"/>
    <col min="7" max="7" width="12.42578125" style="2" customWidth="1"/>
    <col min="8" max="8" width="18.42578125" style="2" customWidth="1"/>
    <col min="9" max="9" width="15.85546875" style="2" customWidth="1"/>
    <col min="10" max="10" width="14.42578125" style="2" customWidth="1"/>
    <col min="11" max="11" width="13.140625" style="2" customWidth="1"/>
    <col min="12" max="12" width="12.140625" style="2" bestFit="1" customWidth="1"/>
    <col min="13" max="13" width="14" style="2" customWidth="1"/>
    <col min="14" max="14" width="12.28515625" style="2" customWidth="1"/>
    <col min="15" max="15" width="16" style="2" customWidth="1"/>
    <col min="16" max="16" width="15.7109375" style="2" customWidth="1"/>
    <col min="17" max="17" width="13.85546875" style="2" customWidth="1"/>
    <col min="18" max="18" width="14.7109375" style="2" customWidth="1"/>
    <col min="19" max="19" width="14.140625" style="2" customWidth="1"/>
    <col min="20" max="16384" width="11.42578125" style="2"/>
  </cols>
  <sheetData>
    <row r="2" spans="2:19" ht="14.45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 x14ac:dyDescent="0.3">
      <c r="B5" s="699" t="s">
        <v>20</v>
      </c>
      <c r="C5" s="700"/>
      <c r="D5" s="701"/>
      <c r="E5" s="715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48"/>
    </row>
    <row r="6" spans="2:19" ht="31.5" x14ac:dyDescent="0.25">
      <c r="B6" s="185" t="s">
        <v>24</v>
      </c>
      <c r="C6" s="161" t="s">
        <v>69</v>
      </c>
      <c r="D6" s="12"/>
      <c r="E6" s="13">
        <v>304.89999999999998</v>
      </c>
      <c r="F6" s="14">
        <f>I27+I28+I29+I30+I31+I32+I33+I34</f>
        <v>304.4406874231085</v>
      </c>
      <c r="G6" s="15">
        <f>E6-F6</f>
        <v>0.45931257689147742</v>
      </c>
      <c r="H6" s="13"/>
      <c r="I6" s="14"/>
      <c r="J6" s="15">
        <f>H6-I6</f>
        <v>0</v>
      </c>
      <c r="K6" s="13"/>
      <c r="L6" s="14"/>
      <c r="M6" s="15">
        <f>K6-L6</f>
        <v>0</v>
      </c>
      <c r="N6" s="13"/>
      <c r="O6" s="14"/>
      <c r="P6" s="16">
        <f>N6-O6</f>
        <v>0</v>
      </c>
      <c r="Q6" s="17">
        <f t="shared" ref="Q6:Q20" si="0">N6+K6+H6+E6</f>
        <v>304.89999999999998</v>
      </c>
      <c r="R6" s="18">
        <f t="shared" ref="R6:R20" si="1">O6+L6+I6+F6</f>
        <v>304.4406874231085</v>
      </c>
      <c r="S6" s="19">
        <f t="shared" ref="S6:S21" si="2">Q6-R6</f>
        <v>0.45931257689147742</v>
      </c>
    </row>
    <row r="7" spans="2:19" ht="47.25" x14ac:dyDescent="0.25">
      <c r="B7" s="186" t="s">
        <v>130</v>
      </c>
      <c r="C7" s="162" t="s">
        <v>70</v>
      </c>
      <c r="D7" s="21"/>
      <c r="E7" s="28">
        <f>3171.7/4</f>
        <v>792.92499999999995</v>
      </c>
      <c r="F7" s="23"/>
      <c r="G7" s="24">
        <f>E7-F7</f>
        <v>792.92499999999995</v>
      </c>
      <c r="H7" s="28">
        <f>3171.7/4</f>
        <v>792.92499999999995</v>
      </c>
      <c r="I7" s="23"/>
      <c r="J7" s="24">
        <f>H7-I7</f>
        <v>792.92499999999995</v>
      </c>
      <c r="K7" s="28">
        <f>3171.7/4</f>
        <v>792.92499999999995</v>
      </c>
      <c r="L7" s="29">
        <f>I59</f>
        <v>1067.1431206618727</v>
      </c>
      <c r="M7" s="24">
        <f>K7-L7</f>
        <v>-274.21812066187272</v>
      </c>
      <c r="N7" s="28">
        <f>3171.7/4</f>
        <v>792.92499999999995</v>
      </c>
      <c r="O7" s="23"/>
      <c r="P7" s="25">
        <f>N7-O7</f>
        <v>792.92499999999995</v>
      </c>
      <c r="Q7" s="22">
        <f t="shared" si="0"/>
        <v>3171.7</v>
      </c>
      <c r="R7" s="23">
        <f t="shared" si="1"/>
        <v>1067.1431206618727</v>
      </c>
      <c r="S7" s="26">
        <f t="shared" si="2"/>
        <v>2104.5568793381271</v>
      </c>
    </row>
    <row r="8" spans="2:19" s="445" customFormat="1" ht="15.6" x14ac:dyDescent="0.25">
      <c r="B8" s="446" t="s">
        <v>131</v>
      </c>
      <c r="C8" s="447" t="s">
        <v>132</v>
      </c>
      <c r="D8" s="448"/>
      <c r="E8" s="438"/>
      <c r="F8" s="443"/>
      <c r="G8" s="440"/>
      <c r="H8" s="438">
        <v>3688.51</v>
      </c>
      <c r="I8" s="439">
        <f>I42+I43+I44</f>
        <v>17610.910471265648</v>
      </c>
      <c r="J8" s="440"/>
      <c r="K8" s="438"/>
      <c r="L8" s="443"/>
      <c r="M8" s="440"/>
      <c r="N8" s="438"/>
      <c r="O8" s="443"/>
      <c r="P8" s="441"/>
      <c r="Q8" s="442">
        <f t="shared" si="0"/>
        <v>3688.51</v>
      </c>
      <c r="R8" s="443">
        <f t="shared" si="1"/>
        <v>17610.910471265648</v>
      </c>
      <c r="S8" s="444">
        <f t="shared" si="2"/>
        <v>-13922.400471265648</v>
      </c>
    </row>
    <row r="9" spans="2:19" ht="63" x14ac:dyDescent="0.25">
      <c r="B9" s="186" t="s">
        <v>133</v>
      </c>
      <c r="C9" s="162" t="s">
        <v>71</v>
      </c>
      <c r="D9" s="27"/>
      <c r="E9" s="28">
        <f>3811.23/4</f>
        <v>952.8075</v>
      </c>
      <c r="F9" s="29"/>
      <c r="G9" s="24">
        <f>E9-F9</f>
        <v>952.8075</v>
      </c>
      <c r="H9" s="28">
        <f>3811.23/4</f>
        <v>952.8075</v>
      </c>
      <c r="I9" s="29"/>
      <c r="J9" s="24">
        <f>H9-I9</f>
        <v>952.8075</v>
      </c>
      <c r="K9" s="28">
        <f>3811.23/4</f>
        <v>952.8075</v>
      </c>
      <c r="L9" s="29">
        <f>I60</f>
        <v>593.22486077593499</v>
      </c>
      <c r="M9" s="24">
        <f>K9-L9</f>
        <v>359.58263922406502</v>
      </c>
      <c r="N9" s="28">
        <f>3811.23/4</f>
        <v>952.8075</v>
      </c>
      <c r="O9" s="29">
        <f>I74</f>
        <v>2439.184275798566</v>
      </c>
      <c r="P9" s="25">
        <f>N9-O9</f>
        <v>-1486.3767757985661</v>
      </c>
      <c r="Q9" s="22">
        <f t="shared" si="0"/>
        <v>3811.23</v>
      </c>
      <c r="R9" s="23">
        <f t="shared" si="1"/>
        <v>3032.4091365745007</v>
      </c>
      <c r="S9" s="26">
        <f t="shared" si="2"/>
        <v>778.82086342549928</v>
      </c>
    </row>
    <row r="10" spans="2:19" s="445" customFormat="1" ht="15.6" x14ac:dyDescent="0.25">
      <c r="B10" s="435" t="s">
        <v>134</v>
      </c>
      <c r="C10" s="436" t="s">
        <v>135</v>
      </c>
      <c r="D10" s="437"/>
      <c r="E10" s="438"/>
      <c r="F10" s="439"/>
      <c r="G10" s="440"/>
      <c r="H10" s="438">
        <v>3811.23</v>
      </c>
      <c r="I10" s="439">
        <f>I41</f>
        <v>1783.6535016777013</v>
      </c>
      <c r="J10" s="440"/>
      <c r="K10" s="438"/>
      <c r="L10" s="439"/>
      <c r="M10" s="440"/>
      <c r="N10" s="438"/>
      <c r="O10" s="439"/>
      <c r="P10" s="441"/>
      <c r="Q10" s="442">
        <f t="shared" si="0"/>
        <v>3811.23</v>
      </c>
      <c r="R10" s="443">
        <f t="shared" si="1"/>
        <v>1783.6535016777013</v>
      </c>
      <c r="S10" s="444">
        <f t="shared" si="2"/>
        <v>2027.5764983222987</v>
      </c>
    </row>
    <row r="11" spans="2:19" x14ac:dyDescent="0.25">
      <c r="B11" s="727" t="s">
        <v>25</v>
      </c>
      <c r="C11" s="707" t="s">
        <v>72</v>
      </c>
      <c r="D11" s="27" t="s">
        <v>113</v>
      </c>
      <c r="E11" s="28"/>
      <c r="F11" s="29"/>
      <c r="G11" s="24">
        <f t="shared" ref="G11:G21" si="3">E11-F11</f>
        <v>0</v>
      </c>
      <c r="H11" s="28">
        <v>152.44999999999999</v>
      </c>
      <c r="I11" s="29"/>
      <c r="J11" s="24">
        <f t="shared" ref="J11:J21" si="4">H11-I11</f>
        <v>152.44999999999999</v>
      </c>
      <c r="K11" s="28"/>
      <c r="L11" s="29">
        <f>I50+I51</f>
        <v>72.158693328983446</v>
      </c>
      <c r="M11" s="24">
        <f t="shared" ref="M11:M21" si="5">K11-L11</f>
        <v>-72.158693328983446</v>
      </c>
      <c r="N11" s="28"/>
      <c r="O11" s="29"/>
      <c r="P11" s="25">
        <f t="shared" ref="P11:P21" si="6">N11-O11</f>
        <v>0</v>
      </c>
      <c r="Q11" s="22">
        <f t="shared" si="0"/>
        <v>152.44999999999999</v>
      </c>
      <c r="R11" s="23">
        <f t="shared" si="1"/>
        <v>72.158693328983446</v>
      </c>
      <c r="S11" s="26">
        <f t="shared" si="2"/>
        <v>80.291306671016542</v>
      </c>
    </row>
    <row r="12" spans="2:19" x14ac:dyDescent="0.25">
      <c r="B12" s="728"/>
      <c r="C12" s="708"/>
      <c r="D12" s="27" t="s">
        <v>100</v>
      </c>
      <c r="E12" s="28"/>
      <c r="F12" s="29"/>
      <c r="G12" s="24">
        <f t="shared" si="3"/>
        <v>0</v>
      </c>
      <c r="H12" s="28">
        <v>762.25</v>
      </c>
      <c r="I12" s="29"/>
      <c r="J12" s="24">
        <f t="shared" si="4"/>
        <v>762.25</v>
      </c>
      <c r="K12" s="28"/>
      <c r="L12" s="29">
        <f>I56</f>
        <v>868.95939825323921</v>
      </c>
      <c r="M12" s="24">
        <f t="shared" si="5"/>
        <v>-868.95939825323921</v>
      </c>
      <c r="N12" s="28"/>
      <c r="O12" s="29"/>
      <c r="P12" s="25">
        <f t="shared" si="6"/>
        <v>0</v>
      </c>
      <c r="Q12" s="22">
        <f t="shared" si="0"/>
        <v>762.25</v>
      </c>
      <c r="R12" s="23">
        <f t="shared" si="1"/>
        <v>868.95939825323921</v>
      </c>
      <c r="S12" s="26">
        <f t="shared" si="2"/>
        <v>-106.70939825323921</v>
      </c>
    </row>
    <row r="13" spans="2:19" x14ac:dyDescent="0.25">
      <c r="B13" s="728"/>
      <c r="C13" s="708"/>
      <c r="D13" s="27" t="s">
        <v>114</v>
      </c>
      <c r="E13" s="28"/>
      <c r="F13" s="29"/>
      <c r="G13" s="24">
        <f t="shared" si="3"/>
        <v>0</v>
      </c>
      <c r="H13" s="28">
        <v>1067.1400000000001</v>
      </c>
      <c r="I13" s="29"/>
      <c r="J13" s="24">
        <f t="shared" si="4"/>
        <v>1067.1400000000001</v>
      </c>
      <c r="K13" s="28"/>
      <c r="L13" s="29">
        <f>I54+I52+I53</f>
        <v>1486.3779180647509</v>
      </c>
      <c r="M13" s="24">
        <f t="shared" si="5"/>
        <v>-1486.3779180647509</v>
      </c>
      <c r="N13" s="28"/>
      <c r="O13" s="29"/>
      <c r="P13" s="25">
        <f t="shared" si="6"/>
        <v>0</v>
      </c>
      <c r="Q13" s="22">
        <f t="shared" si="0"/>
        <v>1067.1400000000001</v>
      </c>
      <c r="R13" s="23">
        <f t="shared" si="1"/>
        <v>1486.3779180647509</v>
      </c>
      <c r="S13" s="26">
        <f t="shared" si="2"/>
        <v>-419.23791806475083</v>
      </c>
    </row>
    <row r="14" spans="2:19" ht="27.95" customHeight="1" x14ac:dyDescent="0.25">
      <c r="B14" s="729"/>
      <c r="C14" s="709"/>
      <c r="D14" s="27" t="s">
        <v>115</v>
      </c>
      <c r="E14" s="28"/>
      <c r="F14" s="29"/>
      <c r="G14" s="24">
        <f t="shared" si="3"/>
        <v>0</v>
      </c>
      <c r="H14" s="28">
        <v>228.67</v>
      </c>
      <c r="I14" s="29"/>
      <c r="J14" s="24">
        <f t="shared" si="4"/>
        <v>228.67</v>
      </c>
      <c r="K14" s="28"/>
      <c r="L14" s="29">
        <f>I55</f>
        <v>45.734705171223112</v>
      </c>
      <c r="M14" s="24">
        <f t="shared" si="5"/>
        <v>-45.734705171223112</v>
      </c>
      <c r="N14" s="28"/>
      <c r="O14" s="29"/>
      <c r="P14" s="25">
        <f t="shared" si="6"/>
        <v>0</v>
      </c>
      <c r="Q14" s="22">
        <f t="shared" si="0"/>
        <v>228.67</v>
      </c>
      <c r="R14" s="23">
        <f t="shared" si="1"/>
        <v>45.734705171223112</v>
      </c>
      <c r="S14" s="26">
        <f t="shared" si="2"/>
        <v>182.93529482877688</v>
      </c>
    </row>
    <row r="15" spans="2:19" ht="63" x14ac:dyDescent="0.25">
      <c r="B15" s="186" t="s">
        <v>76</v>
      </c>
      <c r="C15" s="163" t="s">
        <v>73</v>
      </c>
      <c r="D15" s="27"/>
      <c r="E15" s="28"/>
      <c r="F15" s="29"/>
      <c r="G15" s="24">
        <f t="shared" si="3"/>
        <v>0</v>
      </c>
      <c r="H15" s="28">
        <v>381.13</v>
      </c>
      <c r="I15" s="29"/>
      <c r="J15" s="24">
        <f t="shared" si="4"/>
        <v>381.13</v>
      </c>
      <c r="K15" s="28">
        <v>381.12</v>
      </c>
      <c r="L15" s="29"/>
      <c r="M15" s="24">
        <f t="shared" si="5"/>
        <v>381.12</v>
      </c>
      <c r="N15" s="28">
        <v>381.12</v>
      </c>
      <c r="O15" s="29">
        <f>I65+I66+I70+I68</f>
        <v>495.45930602158376</v>
      </c>
      <c r="P15" s="25">
        <f t="shared" si="6"/>
        <v>-114.33930602158375</v>
      </c>
      <c r="Q15" s="22">
        <f t="shared" si="0"/>
        <v>1143.3699999999999</v>
      </c>
      <c r="R15" s="23">
        <f t="shared" si="1"/>
        <v>495.45930602158376</v>
      </c>
      <c r="S15" s="26">
        <f t="shared" si="2"/>
        <v>647.91069397841613</v>
      </c>
    </row>
    <row r="16" spans="2:19" x14ac:dyDescent="0.25">
      <c r="B16" s="727" t="s">
        <v>77</v>
      </c>
      <c r="C16" s="707" t="s">
        <v>74</v>
      </c>
      <c r="D16" s="27" t="s">
        <v>113</v>
      </c>
      <c r="E16" s="28"/>
      <c r="F16" s="29"/>
      <c r="G16" s="24">
        <f t="shared" si="3"/>
        <v>0</v>
      </c>
      <c r="H16" s="28"/>
      <c r="I16" s="29"/>
      <c r="J16" s="24">
        <f t="shared" si="4"/>
        <v>0</v>
      </c>
      <c r="K16" s="28">
        <v>38.11</v>
      </c>
      <c r="L16" s="29"/>
      <c r="M16" s="24">
        <f t="shared" si="5"/>
        <v>38.11</v>
      </c>
      <c r="N16" s="28"/>
      <c r="O16" s="29"/>
      <c r="P16" s="25">
        <f t="shared" si="6"/>
        <v>0</v>
      </c>
      <c r="Q16" s="22">
        <f t="shared" si="0"/>
        <v>38.11</v>
      </c>
      <c r="R16" s="23">
        <f t="shared" si="1"/>
        <v>0</v>
      </c>
      <c r="S16" s="26">
        <f t="shared" si="2"/>
        <v>38.11</v>
      </c>
    </row>
    <row r="17" spans="1:19" x14ac:dyDescent="0.25">
      <c r="B17" s="728"/>
      <c r="C17" s="708"/>
      <c r="D17" s="27" t="s">
        <v>100</v>
      </c>
      <c r="E17" s="22"/>
      <c r="F17" s="23"/>
      <c r="G17" s="24">
        <f t="shared" si="3"/>
        <v>0</v>
      </c>
      <c r="H17" s="22"/>
      <c r="I17" s="23"/>
      <c r="J17" s="24">
        <f t="shared" si="4"/>
        <v>0</v>
      </c>
      <c r="K17" s="28">
        <v>152.44999999999999</v>
      </c>
      <c r="L17" s="23"/>
      <c r="M17" s="24">
        <f t="shared" si="5"/>
        <v>152.44999999999999</v>
      </c>
      <c r="N17" s="22"/>
      <c r="O17" s="23"/>
      <c r="P17" s="25">
        <f t="shared" si="6"/>
        <v>0</v>
      </c>
      <c r="Q17" s="22">
        <f t="shared" si="0"/>
        <v>152.44999999999999</v>
      </c>
      <c r="R17" s="23">
        <f t="shared" si="1"/>
        <v>0</v>
      </c>
      <c r="S17" s="26">
        <f t="shared" si="2"/>
        <v>152.44999999999999</v>
      </c>
    </row>
    <row r="18" spans="1:19" x14ac:dyDescent="0.25">
      <c r="B18" s="728"/>
      <c r="C18" s="708"/>
      <c r="D18" s="27" t="s">
        <v>114</v>
      </c>
      <c r="E18" s="28"/>
      <c r="F18" s="29"/>
      <c r="G18" s="24">
        <f t="shared" si="3"/>
        <v>0</v>
      </c>
      <c r="H18" s="28"/>
      <c r="I18" s="29"/>
      <c r="J18" s="24">
        <f t="shared" si="4"/>
        <v>0</v>
      </c>
      <c r="K18" s="28">
        <v>106.71</v>
      </c>
      <c r="L18" s="29"/>
      <c r="M18" s="24">
        <f t="shared" si="5"/>
        <v>106.71</v>
      </c>
      <c r="N18" s="28"/>
      <c r="O18" s="29"/>
      <c r="P18" s="25">
        <f t="shared" si="6"/>
        <v>0</v>
      </c>
      <c r="Q18" s="22">
        <f t="shared" si="0"/>
        <v>106.71</v>
      </c>
      <c r="R18" s="23">
        <f t="shared" si="1"/>
        <v>0</v>
      </c>
      <c r="S18" s="26">
        <f t="shared" si="2"/>
        <v>106.71</v>
      </c>
    </row>
    <row r="19" spans="1:19" x14ac:dyDescent="0.25">
      <c r="B19" s="729"/>
      <c r="C19" s="709"/>
      <c r="D19" s="27" t="s">
        <v>116</v>
      </c>
      <c r="E19" s="28"/>
      <c r="F19" s="29"/>
      <c r="G19" s="24">
        <f t="shared" si="3"/>
        <v>0</v>
      </c>
      <c r="H19" s="28"/>
      <c r="I19" s="29"/>
      <c r="J19" s="24">
        <f t="shared" si="4"/>
        <v>0</v>
      </c>
      <c r="K19" s="28">
        <v>304.89999999999998</v>
      </c>
      <c r="L19" s="29"/>
      <c r="M19" s="24">
        <f t="shared" si="5"/>
        <v>304.89999999999998</v>
      </c>
      <c r="N19" s="28"/>
      <c r="O19" s="29"/>
      <c r="P19" s="25">
        <f t="shared" si="6"/>
        <v>0</v>
      </c>
      <c r="Q19" s="22">
        <f t="shared" si="0"/>
        <v>304.89999999999998</v>
      </c>
      <c r="R19" s="23">
        <f t="shared" si="1"/>
        <v>0</v>
      </c>
      <c r="S19" s="26">
        <f t="shared" si="2"/>
        <v>304.89999999999998</v>
      </c>
    </row>
    <row r="20" spans="1:19" ht="63.75" thickBot="1" x14ac:dyDescent="0.3">
      <c r="B20" s="186" t="s">
        <v>78</v>
      </c>
      <c r="C20" s="163" t="s">
        <v>75</v>
      </c>
      <c r="D20" s="30"/>
      <c r="E20" s="28">
        <v>762.23</v>
      </c>
      <c r="F20" s="29">
        <f>I35+I36</f>
        <v>304.89803447482075</v>
      </c>
      <c r="G20" s="24">
        <f t="shared" si="3"/>
        <v>457.33196552517927</v>
      </c>
      <c r="H20" s="28">
        <v>762.25</v>
      </c>
      <c r="I20" s="23"/>
      <c r="J20" s="24">
        <f t="shared" si="4"/>
        <v>762.25</v>
      </c>
      <c r="K20" s="28">
        <v>762.25</v>
      </c>
      <c r="L20" s="29">
        <f>I48+I49+I57+I58</f>
        <v>463.44501240172752</v>
      </c>
      <c r="M20" s="24">
        <f t="shared" si="5"/>
        <v>298.80498759827248</v>
      </c>
      <c r="N20" s="28">
        <v>762.25</v>
      </c>
      <c r="O20" s="23">
        <f>I64+I67+I71+I72+I73+I69</f>
        <v>414.66132688575624</v>
      </c>
      <c r="P20" s="25">
        <f t="shared" si="6"/>
        <v>347.58867311424376</v>
      </c>
      <c r="Q20" s="22">
        <f t="shared" si="0"/>
        <v>3048.98</v>
      </c>
      <c r="R20" s="23">
        <f t="shared" si="1"/>
        <v>1183.0043737623046</v>
      </c>
      <c r="S20" s="26">
        <f t="shared" si="2"/>
        <v>1865.9756262376955</v>
      </c>
    </row>
    <row r="21" spans="1:19" ht="15.75" thickBot="1" x14ac:dyDescent="0.3">
      <c r="B21" s="674" t="s">
        <v>9</v>
      </c>
      <c r="C21" s="675"/>
      <c r="D21" s="676"/>
      <c r="E21" s="36">
        <f>SUM(E6:E20)</f>
        <v>2812.8624999999997</v>
      </c>
      <c r="F21" s="36">
        <f>SUM(F6:F20)</f>
        <v>609.33872189792919</v>
      </c>
      <c r="G21" s="37">
        <f t="shared" si="3"/>
        <v>2203.5237781020705</v>
      </c>
      <c r="H21" s="36">
        <f>SUM(H6:H20)</f>
        <v>12599.362499999999</v>
      </c>
      <c r="I21" s="38">
        <f>SUM(I6:I20)</f>
        <v>19394.56397294335</v>
      </c>
      <c r="J21" s="37">
        <f t="shared" si="4"/>
        <v>-6795.2014729433504</v>
      </c>
      <c r="K21" s="36">
        <f>SUM(K6:K20)</f>
        <v>3491.2725</v>
      </c>
      <c r="L21" s="38">
        <f>SUM(L6:L20)</f>
        <v>4597.0437086577322</v>
      </c>
      <c r="M21" s="37">
        <f t="shared" si="5"/>
        <v>-1105.7712086577321</v>
      </c>
      <c r="N21" s="36">
        <f>SUM(N6:N20)</f>
        <v>2889.1025</v>
      </c>
      <c r="O21" s="38">
        <f>SUM(O6:O20)</f>
        <v>3349.3049087059062</v>
      </c>
      <c r="P21" s="37">
        <f t="shared" si="6"/>
        <v>-460.20240870590624</v>
      </c>
      <c r="Q21" s="36">
        <f>SUM(Q6:Q20)</f>
        <v>21792.6</v>
      </c>
      <c r="R21" s="38">
        <f>O21+L21+I21+F21</f>
        <v>27950.251312204917</v>
      </c>
      <c r="S21" s="37">
        <f t="shared" si="2"/>
        <v>-6157.6513122049182</v>
      </c>
    </row>
    <row r="24" spans="1:19" ht="14.45" thickBot="1" x14ac:dyDescent="0.3">
      <c r="E24" s="2" t="s">
        <v>24</v>
      </c>
      <c r="F24" s="2" t="s">
        <v>130</v>
      </c>
      <c r="G24" s="2" t="s">
        <v>131</v>
      </c>
      <c r="H24" s="2" t="s">
        <v>133</v>
      </c>
      <c r="I24" s="2" t="s">
        <v>134</v>
      </c>
      <c r="J24" s="2" t="s">
        <v>25</v>
      </c>
      <c r="K24" s="2" t="s">
        <v>76</v>
      </c>
      <c r="L24" s="2" t="s">
        <v>77</v>
      </c>
      <c r="M24" s="2" t="s">
        <v>78</v>
      </c>
    </row>
    <row r="25" spans="1:19" ht="15.75" thickBot="1" x14ac:dyDescent="0.3">
      <c r="A25" s="172"/>
      <c r="B25" s="172"/>
      <c r="E25" s="749" t="s">
        <v>59</v>
      </c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1"/>
    </row>
    <row r="26" spans="1:19" ht="29.25" thickBot="1" x14ac:dyDescent="0.3">
      <c r="E26" s="39" t="s">
        <v>47</v>
      </c>
      <c r="F26" s="40" t="s">
        <v>48</v>
      </c>
      <c r="G26" s="41" t="s">
        <v>49</v>
      </c>
      <c r="H26" s="42" t="s">
        <v>54</v>
      </c>
      <c r="I26" s="43" t="s">
        <v>50</v>
      </c>
      <c r="J26" s="752" t="s">
        <v>51</v>
      </c>
      <c r="K26" s="753"/>
      <c r="L26" s="753"/>
      <c r="M26" s="753"/>
      <c r="N26" s="753"/>
      <c r="O26" s="753"/>
      <c r="P26" s="753"/>
      <c r="Q26" s="754"/>
      <c r="R26" s="43" t="s">
        <v>52</v>
      </c>
    </row>
    <row r="27" spans="1:19" ht="14.45" thickBot="1" x14ac:dyDescent="0.3">
      <c r="E27" s="217">
        <v>655.95699999999999</v>
      </c>
      <c r="F27" s="53">
        <v>66</v>
      </c>
      <c r="G27" s="54">
        <v>43864</v>
      </c>
      <c r="H27" s="219">
        <v>25000</v>
      </c>
      <c r="I27" s="189">
        <f t="shared" ref="I27:I37" si="7">H27/$E$27</f>
        <v>38.112254309352593</v>
      </c>
      <c r="J27" s="744" t="s">
        <v>169</v>
      </c>
      <c r="K27" s="744"/>
      <c r="L27" s="744"/>
      <c r="M27" s="744"/>
      <c r="N27" s="744"/>
      <c r="O27" s="744"/>
      <c r="P27" s="744"/>
      <c r="Q27" s="745"/>
      <c r="R27" s="52" t="s">
        <v>24</v>
      </c>
    </row>
    <row r="28" spans="1:19" x14ac:dyDescent="0.25">
      <c r="E28" s="743"/>
      <c r="F28" s="56">
        <v>67</v>
      </c>
      <c r="G28" s="54">
        <v>43864</v>
      </c>
      <c r="H28" s="219">
        <v>25000</v>
      </c>
      <c r="I28" s="189">
        <f t="shared" si="7"/>
        <v>38.112254309352593</v>
      </c>
      <c r="J28" s="744" t="s">
        <v>170</v>
      </c>
      <c r="K28" s="744"/>
      <c r="L28" s="744"/>
      <c r="M28" s="744"/>
      <c r="N28" s="744"/>
      <c r="O28" s="744"/>
      <c r="P28" s="744"/>
      <c r="Q28" s="745"/>
      <c r="R28" s="52" t="s">
        <v>24</v>
      </c>
    </row>
    <row r="29" spans="1:19" x14ac:dyDescent="0.25">
      <c r="E29" s="743"/>
      <c r="F29" s="53">
        <v>68</v>
      </c>
      <c r="G29" s="54">
        <v>43864</v>
      </c>
      <c r="H29" s="219">
        <v>25000</v>
      </c>
      <c r="I29" s="189">
        <f t="shared" si="7"/>
        <v>38.112254309352593</v>
      </c>
      <c r="J29" s="744" t="s">
        <v>171</v>
      </c>
      <c r="K29" s="744"/>
      <c r="L29" s="744"/>
      <c r="M29" s="744"/>
      <c r="N29" s="744"/>
      <c r="O29" s="744"/>
      <c r="P29" s="744"/>
      <c r="Q29" s="745"/>
      <c r="R29" s="52" t="s">
        <v>24</v>
      </c>
    </row>
    <row r="30" spans="1:19" x14ac:dyDescent="0.25">
      <c r="E30" s="743"/>
      <c r="F30" s="57">
        <v>72</v>
      </c>
      <c r="G30" s="54">
        <v>43864</v>
      </c>
      <c r="H30" s="219">
        <v>25000</v>
      </c>
      <c r="I30" s="189">
        <f t="shared" si="7"/>
        <v>38.112254309352593</v>
      </c>
      <c r="J30" s="744" t="s">
        <v>172</v>
      </c>
      <c r="K30" s="744"/>
      <c r="L30" s="744"/>
      <c r="M30" s="744"/>
      <c r="N30" s="744"/>
      <c r="O30" s="744"/>
      <c r="P30" s="744"/>
      <c r="Q30" s="745"/>
      <c r="R30" s="52" t="s">
        <v>24</v>
      </c>
    </row>
    <row r="31" spans="1:19" x14ac:dyDescent="0.25">
      <c r="E31" s="743"/>
      <c r="F31" s="58">
        <v>73</v>
      </c>
      <c r="G31" s="50">
        <v>43864</v>
      </c>
      <c r="H31" s="219">
        <v>25000</v>
      </c>
      <c r="I31" s="189">
        <f t="shared" si="7"/>
        <v>38.112254309352593</v>
      </c>
      <c r="J31" s="744" t="s">
        <v>173</v>
      </c>
      <c r="K31" s="744"/>
      <c r="L31" s="744"/>
      <c r="M31" s="744"/>
      <c r="N31" s="744"/>
      <c r="O31" s="744"/>
      <c r="P31" s="744"/>
      <c r="Q31" s="745"/>
      <c r="R31" s="59" t="s">
        <v>24</v>
      </c>
    </row>
    <row r="32" spans="1:19" x14ac:dyDescent="0.25">
      <c r="E32" s="743"/>
      <c r="F32" s="58">
        <v>86</v>
      </c>
      <c r="G32" s="50">
        <v>43864</v>
      </c>
      <c r="H32" s="219">
        <v>25000</v>
      </c>
      <c r="I32" s="189">
        <f t="shared" si="7"/>
        <v>38.112254309352593</v>
      </c>
      <c r="J32" s="744" t="s">
        <v>174</v>
      </c>
      <c r="K32" s="744"/>
      <c r="L32" s="744"/>
      <c r="M32" s="744"/>
      <c r="N32" s="744"/>
      <c r="O32" s="744"/>
      <c r="P32" s="744"/>
      <c r="Q32" s="745"/>
      <c r="R32" s="59" t="s">
        <v>24</v>
      </c>
    </row>
    <row r="33" spans="5:18" x14ac:dyDescent="0.25">
      <c r="E33" s="743"/>
      <c r="F33" s="58">
        <v>10271</v>
      </c>
      <c r="G33" s="50">
        <v>43887</v>
      </c>
      <c r="H33" s="219">
        <v>16500</v>
      </c>
      <c r="I33" s="189">
        <f t="shared" si="7"/>
        <v>25.154087844172714</v>
      </c>
      <c r="J33" s="744" t="s">
        <v>175</v>
      </c>
      <c r="K33" s="744"/>
      <c r="L33" s="744"/>
      <c r="M33" s="744"/>
      <c r="N33" s="744"/>
      <c r="O33" s="744"/>
      <c r="P33" s="744"/>
      <c r="Q33" s="745"/>
      <c r="R33" s="59" t="s">
        <v>24</v>
      </c>
    </row>
    <row r="34" spans="5:18" x14ac:dyDescent="0.25">
      <c r="E34" s="743"/>
      <c r="F34" s="58">
        <v>7</v>
      </c>
      <c r="G34" s="50">
        <v>43887</v>
      </c>
      <c r="H34" s="219">
        <v>33200</v>
      </c>
      <c r="I34" s="189">
        <f t="shared" si="7"/>
        <v>50.613073722820246</v>
      </c>
      <c r="J34" s="744" t="s">
        <v>175</v>
      </c>
      <c r="K34" s="744"/>
      <c r="L34" s="744"/>
      <c r="M34" s="744"/>
      <c r="N34" s="744"/>
      <c r="O34" s="744"/>
      <c r="P34" s="744"/>
      <c r="Q34" s="745"/>
      <c r="R34" s="59" t="s">
        <v>24</v>
      </c>
    </row>
    <row r="35" spans="5:18" x14ac:dyDescent="0.25">
      <c r="E35" s="743"/>
      <c r="F35" s="58">
        <v>65</v>
      </c>
      <c r="G35" s="50">
        <v>43921</v>
      </c>
      <c r="H35" s="219">
        <v>100000</v>
      </c>
      <c r="I35" s="189">
        <f t="shared" si="7"/>
        <v>152.44901723741037</v>
      </c>
      <c r="J35" s="744" t="s">
        <v>176</v>
      </c>
      <c r="K35" s="744"/>
      <c r="L35" s="744"/>
      <c r="M35" s="744"/>
      <c r="N35" s="744"/>
      <c r="O35" s="744"/>
      <c r="P35" s="744"/>
      <c r="Q35" s="745"/>
      <c r="R35" s="59" t="s">
        <v>78</v>
      </c>
    </row>
    <row r="36" spans="5:18" x14ac:dyDescent="0.25">
      <c r="E36" s="743"/>
      <c r="F36" s="58">
        <v>76</v>
      </c>
      <c r="G36" s="54">
        <v>43921</v>
      </c>
      <c r="H36" s="219">
        <v>100000</v>
      </c>
      <c r="I36" s="189">
        <f t="shared" si="7"/>
        <v>152.44901723741037</v>
      </c>
      <c r="J36" s="759" t="s">
        <v>177</v>
      </c>
      <c r="K36" s="760"/>
      <c r="L36" s="760"/>
      <c r="M36" s="760"/>
      <c r="N36" s="760"/>
      <c r="O36" s="760"/>
      <c r="P36" s="760"/>
      <c r="Q36" s="761"/>
      <c r="R36" s="59" t="s">
        <v>78</v>
      </c>
    </row>
    <row r="37" spans="5:18" x14ac:dyDescent="0.25">
      <c r="E37" s="743"/>
      <c r="F37" s="225"/>
      <c r="G37" s="225"/>
      <c r="H37" s="225"/>
      <c r="I37" s="189">
        <f t="shared" si="7"/>
        <v>0</v>
      </c>
      <c r="J37" s="742"/>
      <c r="K37" s="742"/>
      <c r="L37" s="742"/>
      <c r="M37" s="742"/>
      <c r="N37" s="742"/>
      <c r="O37" s="742"/>
      <c r="P37" s="742"/>
      <c r="Q37" s="742"/>
      <c r="R37" s="59"/>
    </row>
    <row r="38" spans="5:18" x14ac:dyDescent="0.25">
      <c r="E38" s="743"/>
      <c r="F38" s="53"/>
      <c r="G38" s="54"/>
      <c r="H38" s="55"/>
      <c r="I38" s="189">
        <f>H38/$E$27</f>
        <v>0</v>
      </c>
      <c r="J38" s="744"/>
      <c r="K38" s="744"/>
      <c r="L38" s="744"/>
      <c r="M38" s="744"/>
      <c r="N38" s="744"/>
      <c r="O38" s="744"/>
      <c r="P38" s="744"/>
      <c r="Q38" s="745"/>
      <c r="R38" s="52"/>
    </row>
    <row r="39" spans="5:18" ht="15.75" thickBot="1" x14ac:dyDescent="0.3">
      <c r="E39" s="743"/>
      <c r="F39" s="60"/>
      <c r="G39" s="61"/>
      <c r="H39" s="62"/>
      <c r="I39" s="93">
        <f>H39/$E$27</f>
        <v>0</v>
      </c>
      <c r="J39" s="746"/>
      <c r="K39" s="746"/>
      <c r="L39" s="746"/>
      <c r="M39" s="746"/>
      <c r="N39" s="746"/>
      <c r="O39" s="746"/>
      <c r="P39" s="746"/>
      <c r="Q39" s="747"/>
      <c r="R39" s="63"/>
    </row>
    <row r="40" spans="5:18" ht="14.45" thickBot="1" x14ac:dyDescent="0.3">
      <c r="E40" s="64"/>
      <c r="F40" s="736" t="s">
        <v>58</v>
      </c>
      <c r="G40" s="737"/>
      <c r="H40" s="65">
        <f>SUM(H27:H39)</f>
        <v>399700</v>
      </c>
      <c r="I40" s="65">
        <f>SUM(I27:I39)</f>
        <v>609.33872189792919</v>
      </c>
      <c r="J40" s="738"/>
      <c r="K40" s="738"/>
      <c r="L40" s="738"/>
      <c r="M40" s="738"/>
      <c r="N40" s="738"/>
      <c r="O40" s="738"/>
      <c r="P40" s="738"/>
      <c r="Q40" s="739"/>
      <c r="R40" s="66"/>
    </row>
    <row r="41" spans="5:18" ht="15.75" thickBot="1" x14ac:dyDescent="0.3">
      <c r="E41" s="67">
        <v>655.95699999999999</v>
      </c>
      <c r="F41" s="68">
        <v>1052</v>
      </c>
      <c r="G41" s="422">
        <v>43949</v>
      </c>
      <c r="H41" s="423">
        <v>1170000</v>
      </c>
      <c r="I41" s="70">
        <f>H41/$E$41</f>
        <v>1783.6535016777013</v>
      </c>
      <c r="J41" s="740" t="s">
        <v>280</v>
      </c>
      <c r="K41" s="740"/>
      <c r="L41" s="740"/>
      <c r="M41" s="740"/>
      <c r="N41" s="740"/>
      <c r="O41" s="740"/>
      <c r="P41" s="740"/>
      <c r="Q41" s="741"/>
      <c r="R41" s="71" t="s">
        <v>134</v>
      </c>
    </row>
    <row r="42" spans="5:18" x14ac:dyDescent="0.25">
      <c r="E42" s="781"/>
      <c r="F42" s="72" t="s">
        <v>281</v>
      </c>
      <c r="G42" s="73">
        <v>43950</v>
      </c>
      <c r="H42" s="423">
        <v>7002000</v>
      </c>
      <c r="I42" s="70">
        <f t="shared" ref="I42:I46" si="8">H42/$E$41</f>
        <v>10674.480186963476</v>
      </c>
      <c r="J42" s="762" t="s">
        <v>282</v>
      </c>
      <c r="K42" s="763"/>
      <c r="L42" s="763"/>
      <c r="M42" s="763"/>
      <c r="N42" s="763"/>
      <c r="O42" s="763"/>
      <c r="P42" s="763"/>
      <c r="Q42" s="764"/>
      <c r="R42" s="75" t="s">
        <v>131</v>
      </c>
    </row>
    <row r="43" spans="5:18" x14ac:dyDescent="0.25">
      <c r="E43" s="743"/>
      <c r="F43" s="72">
        <v>90</v>
      </c>
      <c r="G43" s="73">
        <v>43950</v>
      </c>
      <c r="H43" s="423">
        <v>100000</v>
      </c>
      <c r="I43" s="70">
        <f t="shared" si="8"/>
        <v>152.44901723741037</v>
      </c>
      <c r="J43" s="762" t="s">
        <v>284</v>
      </c>
      <c r="K43" s="763"/>
      <c r="L43" s="763"/>
      <c r="M43" s="763"/>
      <c r="N43" s="763"/>
      <c r="O43" s="763"/>
      <c r="P43" s="763"/>
      <c r="Q43" s="764"/>
      <c r="R43" s="75" t="s">
        <v>131</v>
      </c>
    </row>
    <row r="44" spans="5:18" x14ac:dyDescent="0.25">
      <c r="E44" s="743"/>
      <c r="F44" s="72"/>
      <c r="G44" s="73"/>
      <c r="H44" s="423">
        <v>4450000</v>
      </c>
      <c r="I44" s="70">
        <f t="shared" si="8"/>
        <v>6783.9812670647616</v>
      </c>
      <c r="J44" s="762" t="s">
        <v>301</v>
      </c>
      <c r="K44" s="763"/>
      <c r="L44" s="763"/>
      <c r="M44" s="763"/>
      <c r="N44" s="763"/>
      <c r="O44" s="763"/>
      <c r="P44" s="763"/>
      <c r="Q44" s="764"/>
      <c r="R44" s="75" t="s">
        <v>131</v>
      </c>
    </row>
    <row r="45" spans="5:18" x14ac:dyDescent="0.25">
      <c r="E45" s="743"/>
      <c r="F45" s="72"/>
      <c r="G45" s="73"/>
      <c r="H45" s="423"/>
      <c r="I45" s="70">
        <f t="shared" si="8"/>
        <v>0</v>
      </c>
      <c r="J45" s="765"/>
      <c r="K45" s="765"/>
      <c r="L45" s="765"/>
      <c r="M45" s="765"/>
      <c r="N45" s="765"/>
      <c r="O45" s="765"/>
      <c r="P45" s="765"/>
      <c r="Q45" s="766"/>
      <c r="R45" s="75"/>
    </row>
    <row r="46" spans="5:18" ht="15.75" thickBot="1" x14ac:dyDescent="0.3">
      <c r="E46" s="782"/>
      <c r="F46" s="81"/>
      <c r="G46" s="82"/>
      <c r="H46" s="83"/>
      <c r="I46" s="70">
        <f t="shared" si="8"/>
        <v>0</v>
      </c>
      <c r="J46" s="786"/>
      <c r="K46" s="786"/>
      <c r="L46" s="786"/>
      <c r="M46" s="786"/>
      <c r="N46" s="786"/>
      <c r="O46" s="786"/>
      <c r="P46" s="786"/>
      <c r="Q46" s="787"/>
      <c r="R46" s="80"/>
    </row>
    <row r="47" spans="5:18" ht="14.45" thickBot="1" x14ac:dyDescent="0.3">
      <c r="E47" s="64"/>
      <c r="F47" s="736" t="s">
        <v>57</v>
      </c>
      <c r="G47" s="737"/>
      <c r="H47" s="84">
        <f>SUM(H41:H46)</f>
        <v>12722000</v>
      </c>
      <c r="I47" s="191">
        <f>SUM(I41:I46)</f>
        <v>19394.56397294335</v>
      </c>
      <c r="J47" s="738"/>
      <c r="K47" s="738"/>
      <c r="L47" s="738"/>
      <c r="M47" s="738"/>
      <c r="N47" s="738"/>
      <c r="O47" s="738"/>
      <c r="P47" s="738"/>
      <c r="Q47" s="739"/>
      <c r="R47" s="66"/>
    </row>
    <row r="48" spans="5:18" ht="14.45" thickBot="1" x14ac:dyDescent="0.3">
      <c r="E48" s="85">
        <v>655.95699999999999</v>
      </c>
      <c r="F48" s="68">
        <v>74</v>
      </c>
      <c r="G48" s="580">
        <v>44075</v>
      </c>
      <c r="H48" s="426">
        <v>20000</v>
      </c>
      <c r="I48" s="70">
        <f>H48/$E$48</f>
        <v>30.489803447482075</v>
      </c>
      <c r="J48" s="779" t="s">
        <v>419</v>
      </c>
      <c r="K48" s="779"/>
      <c r="L48" s="779"/>
      <c r="M48" s="779"/>
      <c r="N48" s="779"/>
      <c r="O48" s="779"/>
      <c r="P48" s="779"/>
      <c r="Q48" s="780"/>
      <c r="R48" s="71" t="s">
        <v>78</v>
      </c>
    </row>
    <row r="49" spans="5:18" x14ac:dyDescent="0.25">
      <c r="E49" s="783"/>
      <c r="F49" s="87">
        <v>829</v>
      </c>
      <c r="G49" s="583">
        <v>44078</v>
      </c>
      <c r="H49" s="213">
        <v>109000</v>
      </c>
      <c r="I49" s="70">
        <f t="shared" ref="I49:I62" si="9">H49/$E$48</f>
        <v>166.16942878877731</v>
      </c>
      <c r="J49" s="788" t="s">
        <v>420</v>
      </c>
      <c r="K49" s="789"/>
      <c r="L49" s="789"/>
      <c r="M49" s="789"/>
      <c r="N49" s="789"/>
      <c r="O49" s="789"/>
      <c r="P49" s="789"/>
      <c r="Q49" s="790"/>
      <c r="R49" s="71" t="s">
        <v>78</v>
      </c>
    </row>
    <row r="50" spans="5:18" x14ac:dyDescent="0.25">
      <c r="E50" s="784"/>
      <c r="F50" s="86">
        <v>20</v>
      </c>
      <c r="G50" s="584">
        <v>44088</v>
      </c>
      <c r="H50" s="214">
        <v>27333</v>
      </c>
      <c r="I50" s="70">
        <f t="shared" si="9"/>
        <v>41.668889881501379</v>
      </c>
      <c r="J50" s="776" t="s">
        <v>429</v>
      </c>
      <c r="K50" s="777"/>
      <c r="L50" s="777"/>
      <c r="M50" s="777"/>
      <c r="N50" s="777"/>
      <c r="O50" s="777"/>
      <c r="P50" s="777"/>
      <c r="Q50" s="778"/>
      <c r="R50" s="71" t="s">
        <v>25</v>
      </c>
    </row>
    <row r="51" spans="5:18" x14ac:dyDescent="0.25">
      <c r="E51" s="784"/>
      <c r="F51" s="86">
        <v>14</v>
      </c>
      <c r="G51" s="584">
        <v>44089</v>
      </c>
      <c r="H51" s="214">
        <v>20000</v>
      </c>
      <c r="I51" s="70">
        <f t="shared" si="9"/>
        <v>30.489803447482075</v>
      </c>
      <c r="J51" s="776" t="s">
        <v>430</v>
      </c>
      <c r="K51" s="777"/>
      <c r="L51" s="777"/>
      <c r="M51" s="777"/>
      <c r="N51" s="777"/>
      <c r="O51" s="777"/>
      <c r="P51" s="777"/>
      <c r="Q51" s="778"/>
      <c r="R51" s="71" t="s">
        <v>25</v>
      </c>
    </row>
    <row r="52" spans="5:18" x14ac:dyDescent="0.25">
      <c r="E52" s="784"/>
      <c r="F52" s="86">
        <v>13</v>
      </c>
      <c r="G52" s="584">
        <v>44091</v>
      </c>
      <c r="H52" s="214">
        <v>150000</v>
      </c>
      <c r="I52" s="70">
        <f t="shared" si="9"/>
        <v>228.67352585611556</v>
      </c>
      <c r="J52" s="776" t="s">
        <v>431</v>
      </c>
      <c r="K52" s="777"/>
      <c r="L52" s="777"/>
      <c r="M52" s="777"/>
      <c r="N52" s="777"/>
      <c r="O52" s="777"/>
      <c r="P52" s="777"/>
      <c r="Q52" s="778"/>
      <c r="R52" s="71" t="s">
        <v>25</v>
      </c>
    </row>
    <row r="53" spans="5:18" x14ac:dyDescent="0.25">
      <c r="E53" s="784"/>
      <c r="F53" s="86">
        <v>14</v>
      </c>
      <c r="G53" s="584">
        <v>44091</v>
      </c>
      <c r="H53" s="214">
        <v>150000</v>
      </c>
      <c r="I53" s="70">
        <f t="shared" si="9"/>
        <v>228.67352585611556</v>
      </c>
      <c r="J53" s="791" t="s">
        <v>432</v>
      </c>
      <c r="K53" s="792"/>
      <c r="L53" s="792"/>
      <c r="M53" s="792"/>
      <c r="N53" s="792"/>
      <c r="O53" s="792"/>
      <c r="P53" s="792"/>
      <c r="Q53" s="793"/>
      <c r="R53" s="71" t="s">
        <v>25</v>
      </c>
    </row>
    <row r="54" spans="5:18" x14ac:dyDescent="0.25">
      <c r="E54" s="784"/>
      <c r="F54" s="86">
        <v>20</v>
      </c>
      <c r="G54" s="584">
        <v>44091</v>
      </c>
      <c r="H54" s="214">
        <v>675000</v>
      </c>
      <c r="I54" s="70">
        <f t="shared" si="9"/>
        <v>1029.03086635252</v>
      </c>
      <c r="J54" s="791" t="s">
        <v>433</v>
      </c>
      <c r="K54" s="792"/>
      <c r="L54" s="792"/>
      <c r="M54" s="792"/>
      <c r="N54" s="792"/>
      <c r="O54" s="792"/>
      <c r="P54" s="792"/>
      <c r="Q54" s="793"/>
      <c r="R54" s="71" t="s">
        <v>25</v>
      </c>
    </row>
    <row r="55" spans="5:18" x14ac:dyDescent="0.25">
      <c r="E55" s="784"/>
      <c r="F55" s="87">
        <v>23</v>
      </c>
      <c r="G55" s="583">
        <v>44091</v>
      </c>
      <c r="H55" s="213">
        <v>30000</v>
      </c>
      <c r="I55" s="70">
        <f t="shared" si="9"/>
        <v>45.734705171223112</v>
      </c>
      <c r="J55" s="774" t="s">
        <v>394</v>
      </c>
      <c r="K55" s="774"/>
      <c r="L55" s="774"/>
      <c r="M55" s="774"/>
      <c r="N55" s="774"/>
      <c r="O55" s="774"/>
      <c r="P55" s="774"/>
      <c r="Q55" s="775"/>
      <c r="R55" s="3" t="s">
        <v>25</v>
      </c>
    </row>
    <row r="56" spans="5:18" x14ac:dyDescent="0.25">
      <c r="E56" s="784"/>
      <c r="F56" s="88"/>
      <c r="G56" s="584">
        <v>44091</v>
      </c>
      <c r="H56" s="214">
        <v>570000</v>
      </c>
      <c r="I56" s="70">
        <f t="shared" si="9"/>
        <v>868.95939825323921</v>
      </c>
      <c r="J56" s="776" t="s">
        <v>434</v>
      </c>
      <c r="K56" s="777"/>
      <c r="L56" s="777"/>
      <c r="M56" s="777"/>
      <c r="N56" s="777"/>
      <c r="O56" s="777"/>
      <c r="P56" s="777"/>
      <c r="Q56" s="778"/>
      <c r="R56" s="71" t="s">
        <v>25</v>
      </c>
    </row>
    <row r="57" spans="5:18" x14ac:dyDescent="0.25">
      <c r="E57" s="784"/>
      <c r="F57" s="88">
        <v>359</v>
      </c>
      <c r="G57" s="584">
        <v>44100</v>
      </c>
      <c r="H57" s="214">
        <v>75000</v>
      </c>
      <c r="I57" s="70">
        <f t="shared" si="9"/>
        <v>114.33676292805778</v>
      </c>
      <c r="J57" s="776" t="s">
        <v>420</v>
      </c>
      <c r="K57" s="777"/>
      <c r="L57" s="777"/>
      <c r="M57" s="777"/>
      <c r="N57" s="777"/>
      <c r="O57" s="777"/>
      <c r="P57" s="777"/>
      <c r="Q57" s="778"/>
      <c r="R57" s="71" t="s">
        <v>78</v>
      </c>
    </row>
    <row r="58" spans="5:18" x14ac:dyDescent="0.25">
      <c r="E58" s="784"/>
      <c r="F58" s="89">
        <v>100</v>
      </c>
      <c r="G58" s="584">
        <v>44104</v>
      </c>
      <c r="H58" s="214">
        <v>100000</v>
      </c>
      <c r="I58" s="70">
        <f t="shared" si="9"/>
        <v>152.44901723741037</v>
      </c>
      <c r="J58" s="763" t="s">
        <v>439</v>
      </c>
      <c r="K58" s="763"/>
      <c r="L58" s="763"/>
      <c r="M58" s="763"/>
      <c r="N58" s="763"/>
      <c r="O58" s="763"/>
      <c r="P58" s="763"/>
      <c r="Q58" s="764"/>
      <c r="R58" s="80" t="s">
        <v>78</v>
      </c>
    </row>
    <row r="59" spans="5:18" x14ac:dyDescent="0.25">
      <c r="E59" s="784"/>
      <c r="F59" s="86">
        <v>2524781</v>
      </c>
      <c r="G59" s="584">
        <v>44097</v>
      </c>
      <c r="H59" s="214">
        <v>700000</v>
      </c>
      <c r="I59" s="70">
        <f t="shared" si="9"/>
        <v>1067.1431206618727</v>
      </c>
      <c r="J59" s="774" t="s">
        <v>498</v>
      </c>
      <c r="K59" s="774"/>
      <c r="L59" s="774"/>
      <c r="M59" s="774"/>
      <c r="N59" s="774"/>
      <c r="O59" s="774"/>
      <c r="P59" s="774"/>
      <c r="Q59" s="775"/>
      <c r="R59" s="71" t="s">
        <v>130</v>
      </c>
    </row>
    <row r="60" spans="5:18" x14ac:dyDescent="0.25">
      <c r="E60" s="784"/>
      <c r="F60" s="609">
        <v>2524785</v>
      </c>
      <c r="G60" s="584">
        <v>44097</v>
      </c>
      <c r="H60" s="214">
        <v>389130</v>
      </c>
      <c r="I60" s="70">
        <f t="shared" si="9"/>
        <v>593.22486077593499</v>
      </c>
      <c r="J60" s="774" t="s">
        <v>499</v>
      </c>
      <c r="K60" s="774"/>
      <c r="L60" s="774"/>
      <c r="M60" s="774"/>
      <c r="N60" s="774"/>
      <c r="O60" s="774"/>
      <c r="P60" s="774"/>
      <c r="Q60" s="775"/>
      <c r="R60" s="71" t="s">
        <v>133</v>
      </c>
    </row>
    <row r="61" spans="5:18" x14ac:dyDescent="0.25">
      <c r="E61" s="784"/>
      <c r="F61" s="89"/>
      <c r="G61" s="584"/>
      <c r="H61" s="214"/>
      <c r="I61" s="70">
        <f t="shared" si="9"/>
        <v>0</v>
      </c>
      <c r="J61" s="765"/>
      <c r="K61" s="765"/>
      <c r="L61" s="765"/>
      <c r="M61" s="765"/>
      <c r="N61" s="765"/>
      <c r="O61" s="765"/>
      <c r="P61" s="765"/>
      <c r="Q61" s="766"/>
      <c r="R61" s="75"/>
    </row>
    <row r="62" spans="5:18" ht="15.75" thickBot="1" x14ac:dyDescent="0.3">
      <c r="E62" s="785"/>
      <c r="F62" s="90"/>
      <c r="G62" s="585"/>
      <c r="H62" s="581"/>
      <c r="I62" s="93">
        <f t="shared" si="9"/>
        <v>0</v>
      </c>
      <c r="J62" s="755"/>
      <c r="K62" s="755"/>
      <c r="L62" s="755"/>
      <c r="M62" s="755"/>
      <c r="N62" s="755"/>
      <c r="O62" s="755"/>
      <c r="P62" s="755"/>
      <c r="Q62" s="756"/>
      <c r="R62" s="94"/>
    </row>
    <row r="63" spans="5:18" ht="14.45" thickBot="1" x14ac:dyDescent="0.3">
      <c r="E63" s="64"/>
      <c r="F63" s="736" t="s">
        <v>55</v>
      </c>
      <c r="G63" s="737"/>
      <c r="H63" s="84">
        <f>SUM(H48:H62)</f>
        <v>3015463</v>
      </c>
      <c r="I63" s="191">
        <f>SUM(I48:I62)</f>
        <v>4597.0437086577322</v>
      </c>
      <c r="J63" s="738"/>
      <c r="K63" s="738"/>
      <c r="L63" s="738"/>
      <c r="M63" s="738"/>
      <c r="N63" s="738"/>
      <c r="O63" s="738"/>
      <c r="P63" s="738"/>
      <c r="Q63" s="739"/>
      <c r="R63" s="66"/>
    </row>
    <row r="64" spans="5:18" ht="14.45" thickBot="1" x14ac:dyDescent="0.3">
      <c r="E64" s="85">
        <v>655.95699999999999</v>
      </c>
      <c r="F64" s="95">
        <v>31</v>
      </c>
      <c r="G64" s="50">
        <v>44106</v>
      </c>
      <c r="H64" s="213">
        <v>20000</v>
      </c>
      <c r="I64" s="70">
        <f>H64/$E$64</f>
        <v>30.489803447482075</v>
      </c>
      <c r="J64" s="770" t="s">
        <v>419</v>
      </c>
      <c r="K64" s="770"/>
      <c r="L64" s="770"/>
      <c r="M64" s="770"/>
      <c r="N64" s="770"/>
      <c r="O64" s="770"/>
      <c r="P64" s="770"/>
      <c r="Q64" s="771"/>
      <c r="R64" s="71" t="s">
        <v>78</v>
      </c>
    </row>
    <row r="65" spans="5:18" x14ac:dyDescent="0.25">
      <c r="E65" s="783"/>
      <c r="F65" s="53">
        <v>309</v>
      </c>
      <c r="G65" s="54">
        <v>44109</v>
      </c>
      <c r="H65" s="214">
        <v>75000</v>
      </c>
      <c r="I65" s="70">
        <f t="shared" ref="I65:I70" si="10">H65/$E$64</f>
        <v>114.33676292805778</v>
      </c>
      <c r="J65" s="744" t="s">
        <v>529</v>
      </c>
      <c r="K65" s="744"/>
      <c r="L65" s="744"/>
      <c r="M65" s="744"/>
      <c r="N65" s="744"/>
      <c r="O65" s="744"/>
      <c r="P65" s="744"/>
      <c r="Q65" s="745"/>
      <c r="R65" s="71" t="s">
        <v>76</v>
      </c>
    </row>
    <row r="66" spans="5:18" x14ac:dyDescent="0.25">
      <c r="E66" s="784"/>
      <c r="F66" s="53">
        <v>312</v>
      </c>
      <c r="G66" s="54">
        <v>44112</v>
      </c>
      <c r="H66" s="214">
        <v>80000</v>
      </c>
      <c r="I66" s="70">
        <f t="shared" si="10"/>
        <v>121.9592137899283</v>
      </c>
      <c r="J66" s="744" t="s">
        <v>529</v>
      </c>
      <c r="K66" s="744"/>
      <c r="L66" s="744"/>
      <c r="M66" s="744"/>
      <c r="N66" s="744"/>
      <c r="O66" s="744"/>
      <c r="P66" s="744"/>
      <c r="Q66" s="745"/>
      <c r="R66" s="71" t="s">
        <v>76</v>
      </c>
    </row>
    <row r="67" spans="5:18" x14ac:dyDescent="0.25">
      <c r="E67" s="784"/>
      <c r="F67" s="53">
        <v>5</v>
      </c>
      <c r="G67" s="54">
        <v>44119</v>
      </c>
      <c r="H67" s="214">
        <v>35000</v>
      </c>
      <c r="I67" s="70">
        <f t="shared" si="10"/>
        <v>53.357156033093631</v>
      </c>
      <c r="J67" s="744" t="s">
        <v>420</v>
      </c>
      <c r="K67" s="744"/>
      <c r="L67" s="744"/>
      <c r="M67" s="744"/>
      <c r="N67" s="744"/>
      <c r="O67" s="744"/>
      <c r="P67" s="744"/>
      <c r="Q67" s="745"/>
      <c r="R67" s="71" t="s">
        <v>78</v>
      </c>
    </row>
    <row r="68" spans="5:18" x14ac:dyDescent="0.25">
      <c r="E68" s="784"/>
      <c r="F68" s="53">
        <v>320</v>
      </c>
      <c r="G68" s="54">
        <v>44126</v>
      </c>
      <c r="H68" s="214">
        <v>90000</v>
      </c>
      <c r="I68" s="70">
        <f t="shared" si="10"/>
        <v>137.20411551366934</v>
      </c>
      <c r="J68" s="744" t="s">
        <v>529</v>
      </c>
      <c r="K68" s="744"/>
      <c r="L68" s="744"/>
      <c r="M68" s="744"/>
      <c r="N68" s="744"/>
      <c r="O68" s="744"/>
      <c r="P68" s="744"/>
      <c r="Q68" s="745"/>
      <c r="R68" s="71" t="s">
        <v>76</v>
      </c>
    </row>
    <row r="69" spans="5:18" x14ac:dyDescent="0.25">
      <c r="E69" s="784"/>
      <c r="F69" s="53">
        <v>1</v>
      </c>
      <c r="G69" s="54">
        <v>44130</v>
      </c>
      <c r="H69" s="214">
        <v>30000</v>
      </c>
      <c r="I69" s="70">
        <f t="shared" si="10"/>
        <v>45.734705171223112</v>
      </c>
      <c r="J69" s="744" t="s">
        <v>420</v>
      </c>
      <c r="K69" s="744"/>
      <c r="L69" s="744"/>
      <c r="M69" s="744"/>
      <c r="N69" s="744"/>
      <c r="O69" s="744"/>
      <c r="P69" s="744"/>
      <c r="Q69" s="745"/>
      <c r="R69" s="71" t="s">
        <v>78</v>
      </c>
    </row>
    <row r="70" spans="5:18" x14ac:dyDescent="0.25">
      <c r="E70" s="784"/>
      <c r="F70" s="98">
        <v>324</v>
      </c>
      <c r="G70" s="457">
        <v>44132</v>
      </c>
      <c r="H70" s="215">
        <v>80000</v>
      </c>
      <c r="I70" s="70">
        <f t="shared" si="10"/>
        <v>121.9592137899283</v>
      </c>
      <c r="J70" s="744" t="s">
        <v>529</v>
      </c>
      <c r="K70" s="744"/>
      <c r="L70" s="744"/>
      <c r="M70" s="744"/>
      <c r="N70" s="744"/>
      <c r="O70" s="744"/>
      <c r="P70" s="744"/>
      <c r="Q70" s="745"/>
      <c r="R70" s="71" t="s">
        <v>76</v>
      </c>
    </row>
    <row r="71" spans="5:18" x14ac:dyDescent="0.25">
      <c r="E71" s="626"/>
      <c r="F71" s="53">
        <v>305</v>
      </c>
      <c r="G71" s="54">
        <v>44134</v>
      </c>
      <c r="H71" s="214">
        <v>100000</v>
      </c>
      <c r="I71" s="70">
        <f t="shared" ref="I71:I74" si="11">H71/$E$64</f>
        <v>152.44901723741037</v>
      </c>
      <c r="J71" s="744" t="s">
        <v>570</v>
      </c>
      <c r="K71" s="744"/>
      <c r="L71" s="744"/>
      <c r="M71" s="744"/>
      <c r="N71" s="744"/>
      <c r="O71" s="744"/>
      <c r="P71" s="744"/>
      <c r="Q71" s="745"/>
      <c r="R71" s="71" t="s">
        <v>78</v>
      </c>
    </row>
    <row r="72" spans="5:18" x14ac:dyDescent="0.25">
      <c r="E72" s="626"/>
      <c r="F72" s="53">
        <v>316</v>
      </c>
      <c r="G72" s="54">
        <v>44118</v>
      </c>
      <c r="H72" s="214">
        <v>75000</v>
      </c>
      <c r="I72" s="70">
        <f t="shared" si="11"/>
        <v>114.33676292805778</v>
      </c>
      <c r="J72" s="744" t="s">
        <v>529</v>
      </c>
      <c r="K72" s="744"/>
      <c r="L72" s="744"/>
      <c r="M72" s="744"/>
      <c r="N72" s="744"/>
      <c r="O72" s="744"/>
      <c r="P72" s="744"/>
      <c r="Q72" s="745"/>
      <c r="R72" s="71" t="s">
        <v>78</v>
      </c>
    </row>
    <row r="73" spans="5:18" ht="13.9" x14ac:dyDescent="0.25">
      <c r="E73" s="626"/>
      <c r="F73" s="53">
        <v>483482</v>
      </c>
      <c r="G73" s="54">
        <v>44112</v>
      </c>
      <c r="H73" s="214">
        <v>12000</v>
      </c>
      <c r="I73" s="70">
        <f t="shared" si="11"/>
        <v>18.293882068489246</v>
      </c>
      <c r="J73" s="744" t="s">
        <v>587</v>
      </c>
      <c r="K73" s="744"/>
      <c r="L73" s="744"/>
      <c r="M73" s="744"/>
      <c r="N73" s="744"/>
      <c r="O73" s="744"/>
      <c r="P73" s="744"/>
      <c r="Q73" s="745"/>
      <c r="R73" s="71" t="s">
        <v>78</v>
      </c>
    </row>
    <row r="74" spans="5:18" x14ac:dyDescent="0.25">
      <c r="E74" s="645"/>
      <c r="F74" s="53"/>
      <c r="G74" s="54">
        <v>44115</v>
      </c>
      <c r="H74" s="214">
        <v>1600000</v>
      </c>
      <c r="I74" s="70">
        <f t="shared" si="11"/>
        <v>2439.184275798566</v>
      </c>
      <c r="J74" s="744" t="s">
        <v>589</v>
      </c>
      <c r="K74" s="744"/>
      <c r="L74" s="744"/>
      <c r="M74" s="744"/>
      <c r="N74" s="744"/>
      <c r="O74" s="744"/>
      <c r="P74" s="744"/>
      <c r="Q74" s="745"/>
      <c r="R74" s="71" t="s">
        <v>133</v>
      </c>
    </row>
    <row r="75" spans="5:18" ht="13.9" x14ac:dyDescent="0.25">
      <c r="E75" s="645"/>
      <c r="F75" s="53"/>
      <c r="G75" s="54"/>
      <c r="H75" s="214"/>
      <c r="I75" s="70"/>
      <c r="J75" s="744"/>
      <c r="K75" s="744"/>
      <c r="L75" s="744"/>
      <c r="M75" s="744"/>
      <c r="N75" s="744"/>
      <c r="O75" s="744"/>
      <c r="P75" s="744"/>
      <c r="Q75" s="745"/>
      <c r="R75" s="71"/>
    </row>
    <row r="76" spans="5:18" ht="13.9" x14ac:dyDescent="0.25">
      <c r="E76" s="645"/>
      <c r="F76" s="53"/>
      <c r="G76" s="54"/>
      <c r="H76" s="214"/>
      <c r="I76" s="70"/>
      <c r="J76" s="744"/>
      <c r="K76" s="744"/>
      <c r="L76" s="744"/>
      <c r="M76" s="744"/>
      <c r="N76" s="744"/>
      <c r="O76" s="744"/>
      <c r="P76" s="744"/>
      <c r="Q76" s="745"/>
      <c r="R76" s="71"/>
    </row>
    <row r="77" spans="5:18" ht="14.45" thickBot="1" x14ac:dyDescent="0.3">
      <c r="E77" s="645"/>
      <c r="F77" s="98"/>
      <c r="G77" s="457"/>
      <c r="H77" s="215"/>
      <c r="I77" s="93"/>
      <c r="J77" s="772"/>
      <c r="K77" s="772"/>
      <c r="L77" s="772"/>
      <c r="M77" s="772"/>
      <c r="N77" s="772"/>
      <c r="O77" s="772"/>
      <c r="P77" s="772"/>
      <c r="Q77" s="773"/>
      <c r="R77" s="94"/>
    </row>
    <row r="78" spans="5:18" ht="14.45" thickBot="1" x14ac:dyDescent="0.3">
      <c r="E78" s="64"/>
      <c r="F78" s="736" t="s">
        <v>56</v>
      </c>
      <c r="G78" s="769"/>
      <c r="H78" s="84">
        <f>SUM(H64:H74)</f>
        <v>2197000</v>
      </c>
      <c r="I78" s="191">
        <f>SUM(I64:I77)</f>
        <v>3349.3049087059057</v>
      </c>
      <c r="J78" s="738"/>
      <c r="K78" s="767"/>
      <c r="L78" s="767"/>
      <c r="M78" s="767"/>
      <c r="N78" s="767"/>
      <c r="O78" s="767"/>
      <c r="P78" s="767"/>
      <c r="Q78" s="768"/>
      <c r="R78" s="66"/>
    </row>
    <row r="79" spans="5:18" ht="14.45" thickBot="1" x14ac:dyDescent="0.3">
      <c r="E79" s="100"/>
      <c r="F79" s="101" t="s">
        <v>53</v>
      </c>
      <c r="G79" s="102"/>
      <c r="H79" s="103">
        <f>SUM(H78,H63,H47,H40)</f>
        <v>18334163</v>
      </c>
      <c r="I79" s="103">
        <f>SUM(I78,I63,I47,I40)</f>
        <v>27950.251312204917</v>
      </c>
      <c r="J79" s="757"/>
      <c r="K79" s="757"/>
      <c r="L79" s="757"/>
      <c r="M79" s="757"/>
      <c r="N79" s="757"/>
      <c r="O79" s="757"/>
      <c r="P79" s="757"/>
      <c r="Q79" s="758"/>
      <c r="R79" s="647"/>
    </row>
  </sheetData>
  <mergeCells count="78">
    <mergeCell ref="E42:E46"/>
    <mergeCell ref="E49:E62"/>
    <mergeCell ref="E65:E70"/>
    <mergeCell ref="J46:Q46"/>
    <mergeCell ref="J47:Q47"/>
    <mergeCell ref="F47:G47"/>
    <mergeCell ref="J70:Q70"/>
    <mergeCell ref="J69:Q69"/>
    <mergeCell ref="J49:Q49"/>
    <mergeCell ref="J50:Q50"/>
    <mergeCell ref="J51:Q51"/>
    <mergeCell ref="J52:Q52"/>
    <mergeCell ref="J53:Q53"/>
    <mergeCell ref="J54:Q54"/>
    <mergeCell ref="J56:Q56"/>
    <mergeCell ref="J59:Q59"/>
    <mergeCell ref="J55:Q55"/>
    <mergeCell ref="J57:Q57"/>
    <mergeCell ref="J60:Q60"/>
    <mergeCell ref="J48:Q48"/>
    <mergeCell ref="J61:Q61"/>
    <mergeCell ref="J58:Q58"/>
    <mergeCell ref="J78:Q78"/>
    <mergeCell ref="F63:G63"/>
    <mergeCell ref="F78:G78"/>
    <mergeCell ref="J64:Q64"/>
    <mergeCell ref="J68:Q68"/>
    <mergeCell ref="J67:Q67"/>
    <mergeCell ref="J66:Q66"/>
    <mergeCell ref="J65:Q65"/>
    <mergeCell ref="J71:Q71"/>
    <mergeCell ref="J72:Q72"/>
    <mergeCell ref="J73:Q73"/>
    <mergeCell ref="J74:Q74"/>
    <mergeCell ref="J75:Q75"/>
    <mergeCell ref="J76:Q76"/>
    <mergeCell ref="J77:Q77"/>
    <mergeCell ref="J62:Q62"/>
    <mergeCell ref="J79:Q79"/>
    <mergeCell ref="J27:Q27"/>
    <mergeCell ref="J29:Q29"/>
    <mergeCell ref="J31:Q31"/>
    <mergeCell ref="J36:Q36"/>
    <mergeCell ref="J38:Q38"/>
    <mergeCell ref="J32:Q32"/>
    <mergeCell ref="J33:Q33"/>
    <mergeCell ref="J34:Q34"/>
    <mergeCell ref="J35:Q35"/>
    <mergeCell ref="J42:Q42"/>
    <mergeCell ref="J43:Q43"/>
    <mergeCell ref="J44:Q44"/>
    <mergeCell ref="J45:Q45"/>
    <mergeCell ref="J63:Q63"/>
    <mergeCell ref="B5:D5"/>
    <mergeCell ref="E5:S5"/>
    <mergeCell ref="B21:D21"/>
    <mergeCell ref="E25:R25"/>
    <mergeCell ref="J26:Q26"/>
    <mergeCell ref="B16:B19"/>
    <mergeCell ref="C16:C19"/>
    <mergeCell ref="B11:B14"/>
    <mergeCell ref="C11:C14"/>
    <mergeCell ref="F40:G40"/>
    <mergeCell ref="J40:Q40"/>
    <mergeCell ref="E3:G3"/>
    <mergeCell ref="H3:J3"/>
    <mergeCell ref="J41:Q41"/>
    <mergeCell ref="J37:Q37"/>
    <mergeCell ref="E28:E39"/>
    <mergeCell ref="J28:Q28"/>
    <mergeCell ref="J30:Q30"/>
    <mergeCell ref="J39:Q39"/>
    <mergeCell ref="B3:B4"/>
    <mergeCell ref="C3:C4"/>
    <mergeCell ref="D3:D4"/>
    <mergeCell ref="N3:P3"/>
    <mergeCell ref="Q3:S3"/>
    <mergeCell ref="K3:M3"/>
  </mergeCells>
  <dataValidations count="1">
    <dataValidation type="list" allowBlank="1" showInputMessage="1" showErrorMessage="1" sqref="R27:R79" xr:uid="{00000000-0002-0000-0100-000000000000}">
      <formula1>$E$24:$M$24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68"/>
  <sheetViews>
    <sheetView topLeftCell="D1" workbookViewId="0">
      <selection activeCell="J52" sqref="J52:Q52"/>
    </sheetView>
  </sheetViews>
  <sheetFormatPr baseColWidth="10" defaultColWidth="11.42578125" defaultRowHeight="15" x14ac:dyDescent="0.25"/>
  <cols>
    <col min="1" max="2" width="11.42578125" style="2"/>
    <col min="3" max="3" width="35.42578125" style="2" customWidth="1"/>
    <col min="4" max="7" width="11.42578125" style="2"/>
    <col min="8" max="8" width="14.28515625" style="2" customWidth="1"/>
    <col min="9" max="9" width="11.42578125" style="2"/>
    <col min="10" max="10" width="12.42578125" style="2" customWidth="1"/>
    <col min="11" max="14" width="11.42578125" style="2"/>
    <col min="15" max="15" width="12.140625" style="2" bestFit="1" customWidth="1"/>
    <col min="16" max="16" width="11.42578125" style="2"/>
    <col min="17" max="17" width="12.7109375" style="2" customWidth="1"/>
    <col min="18" max="18" width="13.140625" style="2" customWidth="1"/>
    <col min="19" max="19" width="13.42578125" style="2" customWidth="1"/>
    <col min="20" max="16384" width="11.42578125" style="2"/>
  </cols>
  <sheetData>
    <row r="2" spans="2:19" ht="14.45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 x14ac:dyDescent="0.3">
      <c r="B5" s="733" t="s">
        <v>21</v>
      </c>
      <c r="C5" s="734"/>
      <c r="D5" s="735"/>
      <c r="E5" s="686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8"/>
    </row>
    <row r="6" spans="2:19" ht="56.25" customHeight="1" x14ac:dyDescent="0.25">
      <c r="B6" s="192" t="s">
        <v>26</v>
      </c>
      <c r="C6" s="193" t="s">
        <v>80</v>
      </c>
      <c r="D6" s="194"/>
      <c r="E6" s="106"/>
      <c r="F6" s="107"/>
      <c r="G6" s="108">
        <f t="shared" ref="G6:G15" si="0">E6-F6</f>
        <v>0</v>
      </c>
      <c r="H6" s="106">
        <v>101.63</v>
      </c>
      <c r="I6" s="107"/>
      <c r="J6" s="108">
        <f>H6-I6</f>
        <v>101.63</v>
      </c>
      <c r="K6" s="106">
        <v>101.63</v>
      </c>
      <c r="L6" s="107"/>
      <c r="M6" s="108">
        <f t="shared" ref="M6:M15" si="1">K6-L6</f>
        <v>101.63</v>
      </c>
      <c r="N6" s="106">
        <v>101.63</v>
      </c>
      <c r="O6" s="107">
        <f>I48+I49+I50+I51+I52+I53+I54</f>
        <v>213.42862413237452</v>
      </c>
      <c r="P6" s="109">
        <f t="shared" ref="P6:P15" si="2">N6-O6</f>
        <v>-111.79862413237453</v>
      </c>
      <c r="Q6" s="110">
        <f t="shared" ref="Q6:R16" si="3">N6+K6+H6+E6</f>
        <v>304.89</v>
      </c>
      <c r="R6" s="111">
        <f t="shared" si="3"/>
        <v>213.42862413237452</v>
      </c>
      <c r="S6" s="112">
        <f t="shared" ref="S6:S16" si="4">Q6-R6</f>
        <v>91.461375867625463</v>
      </c>
    </row>
    <row r="7" spans="2:19" ht="66.75" customHeight="1" x14ac:dyDescent="0.25">
      <c r="B7" s="186" t="s">
        <v>27</v>
      </c>
      <c r="C7" s="165" t="s">
        <v>81</v>
      </c>
      <c r="D7" s="30"/>
      <c r="E7" s="28">
        <v>476.41</v>
      </c>
      <c r="F7" s="29">
        <f>I22+I23+I25</f>
        <v>426.85724826474905</v>
      </c>
      <c r="G7" s="24">
        <f t="shared" si="0"/>
        <v>49.552751735250979</v>
      </c>
      <c r="H7" s="28">
        <v>476.4</v>
      </c>
      <c r="I7" s="23"/>
      <c r="J7" s="24">
        <f t="shared" ref="J7:J15" si="5">H7-I7</f>
        <v>476.4</v>
      </c>
      <c r="K7" s="28">
        <v>476.4</v>
      </c>
      <c r="L7" s="23"/>
      <c r="M7" s="24">
        <f t="shared" si="1"/>
        <v>476.4</v>
      </c>
      <c r="N7" s="28">
        <v>476.4</v>
      </c>
      <c r="O7" s="23"/>
      <c r="P7" s="25">
        <f t="shared" si="2"/>
        <v>476.4</v>
      </c>
      <c r="Q7" s="22">
        <f t="shared" si="3"/>
        <v>1905.61</v>
      </c>
      <c r="R7" s="23">
        <f t="shared" si="3"/>
        <v>426.85724826474905</v>
      </c>
      <c r="S7" s="26">
        <f t="shared" si="4"/>
        <v>1478.752751735251</v>
      </c>
    </row>
    <row r="8" spans="2:19" x14ac:dyDescent="0.25">
      <c r="B8" s="727" t="s">
        <v>28</v>
      </c>
      <c r="C8" s="724" t="s">
        <v>82</v>
      </c>
      <c r="D8" s="27" t="s">
        <v>100</v>
      </c>
      <c r="E8" s="28"/>
      <c r="F8" s="29"/>
      <c r="G8" s="24">
        <f t="shared" si="0"/>
        <v>0</v>
      </c>
      <c r="H8" s="28">
        <v>457.35</v>
      </c>
      <c r="I8" s="29"/>
      <c r="J8" s="24">
        <f t="shared" si="5"/>
        <v>457.35</v>
      </c>
      <c r="K8" s="28"/>
      <c r="L8" s="29">
        <f>I39</f>
        <v>396.36744481726697</v>
      </c>
      <c r="M8" s="24">
        <f t="shared" si="1"/>
        <v>-396.36744481726697</v>
      </c>
      <c r="N8" s="28"/>
      <c r="O8" s="29"/>
      <c r="P8" s="25">
        <f t="shared" si="2"/>
        <v>0</v>
      </c>
      <c r="Q8" s="22">
        <f t="shared" si="3"/>
        <v>457.35</v>
      </c>
      <c r="R8" s="23">
        <f t="shared" si="3"/>
        <v>396.36744481726697</v>
      </c>
      <c r="S8" s="26">
        <f t="shared" si="4"/>
        <v>60.982555182733051</v>
      </c>
    </row>
    <row r="9" spans="2:19" x14ac:dyDescent="0.25">
      <c r="B9" s="728"/>
      <c r="C9" s="725"/>
      <c r="D9" s="173" t="s">
        <v>117</v>
      </c>
      <c r="E9" s="22"/>
      <c r="F9" s="29">
        <f>I24</f>
        <v>15.244901723741037</v>
      </c>
      <c r="G9" s="24">
        <f t="shared" si="0"/>
        <v>-15.244901723741037</v>
      </c>
      <c r="H9" s="28">
        <v>228.67</v>
      </c>
      <c r="I9" s="23"/>
      <c r="J9" s="24">
        <f t="shared" si="5"/>
        <v>228.67</v>
      </c>
      <c r="K9" s="22"/>
      <c r="L9" s="29">
        <f>I38</f>
        <v>343.01028878417338</v>
      </c>
      <c r="M9" s="24">
        <f t="shared" si="1"/>
        <v>-343.01028878417338</v>
      </c>
      <c r="N9" s="22"/>
      <c r="O9" s="23"/>
      <c r="P9" s="25">
        <f t="shared" si="2"/>
        <v>0</v>
      </c>
      <c r="Q9" s="22">
        <f t="shared" si="3"/>
        <v>228.67</v>
      </c>
      <c r="R9" s="23">
        <f t="shared" si="3"/>
        <v>358.25519050791445</v>
      </c>
      <c r="S9" s="26">
        <f t="shared" si="4"/>
        <v>-129.58519050791446</v>
      </c>
    </row>
    <row r="10" spans="2:19" ht="30" x14ac:dyDescent="0.25">
      <c r="B10" s="729"/>
      <c r="C10" s="726"/>
      <c r="D10" s="27" t="s">
        <v>118</v>
      </c>
      <c r="E10" s="28"/>
      <c r="F10" s="29"/>
      <c r="G10" s="24">
        <f t="shared" si="0"/>
        <v>0</v>
      </c>
      <c r="H10" s="28">
        <v>228.67</v>
      </c>
      <c r="I10" s="29"/>
      <c r="J10" s="24">
        <f t="shared" si="5"/>
        <v>228.67</v>
      </c>
      <c r="K10" s="28"/>
      <c r="L10" s="29">
        <f>I40+I41+I42</f>
        <v>152.44901723741037</v>
      </c>
      <c r="M10" s="24">
        <f t="shared" si="1"/>
        <v>-152.44901723741037</v>
      </c>
      <c r="N10" s="28"/>
      <c r="O10" s="29"/>
      <c r="P10" s="25">
        <f t="shared" si="2"/>
        <v>0</v>
      </c>
      <c r="Q10" s="22">
        <f t="shared" si="3"/>
        <v>228.67</v>
      </c>
      <c r="R10" s="23">
        <f t="shared" si="3"/>
        <v>152.44901723741037</v>
      </c>
      <c r="S10" s="26">
        <f t="shared" si="4"/>
        <v>76.220982762589614</v>
      </c>
    </row>
    <row r="11" spans="2:19" ht="66.75" customHeight="1" x14ac:dyDescent="0.25">
      <c r="B11" s="186" t="s">
        <v>29</v>
      </c>
      <c r="C11" s="165" t="s">
        <v>83</v>
      </c>
      <c r="D11" s="27"/>
      <c r="E11" s="28"/>
      <c r="F11" s="29"/>
      <c r="G11" s="24">
        <f t="shared" si="0"/>
        <v>0</v>
      </c>
      <c r="H11" s="28">
        <v>254.09</v>
      </c>
      <c r="I11" s="29"/>
      <c r="J11" s="24">
        <f t="shared" si="5"/>
        <v>254.09</v>
      </c>
      <c r="K11" s="28">
        <v>254.08</v>
      </c>
      <c r="L11" s="29"/>
      <c r="M11" s="24">
        <f t="shared" si="1"/>
        <v>254.08</v>
      </c>
      <c r="N11" s="28">
        <v>254.08</v>
      </c>
      <c r="O11" s="29">
        <f>I58+I61+I62+I63+I64</f>
        <v>762.24508618705181</v>
      </c>
      <c r="P11" s="25">
        <f t="shared" si="2"/>
        <v>-508.16508618705177</v>
      </c>
      <c r="Q11" s="22">
        <f t="shared" si="3"/>
        <v>762.25</v>
      </c>
      <c r="R11" s="23">
        <f t="shared" si="3"/>
        <v>762.24508618705181</v>
      </c>
      <c r="S11" s="26">
        <f t="shared" si="4"/>
        <v>4.9138129481889337E-3</v>
      </c>
    </row>
    <row r="12" spans="2:19" ht="84.75" customHeight="1" x14ac:dyDescent="0.25">
      <c r="B12" s="186" t="s">
        <v>86</v>
      </c>
      <c r="C12" s="165" t="s">
        <v>84</v>
      </c>
      <c r="D12" s="30"/>
      <c r="E12" s="113"/>
      <c r="F12" s="114"/>
      <c r="G12" s="24">
        <f t="shared" si="0"/>
        <v>0</v>
      </c>
      <c r="H12" s="120">
        <v>80.12</v>
      </c>
      <c r="I12" s="114"/>
      <c r="J12" s="24">
        <f t="shared" si="5"/>
        <v>80.12</v>
      </c>
      <c r="K12" s="120">
        <v>150.5</v>
      </c>
      <c r="L12" s="114"/>
      <c r="M12" s="24">
        <f t="shared" si="1"/>
        <v>150.5</v>
      </c>
      <c r="N12" s="120">
        <v>150.5</v>
      </c>
      <c r="O12" s="114">
        <f>I55+I56+I57</f>
        <v>419.23479740287854</v>
      </c>
      <c r="P12" s="25">
        <f t="shared" si="2"/>
        <v>-268.73479740287854</v>
      </c>
      <c r="Q12" s="22">
        <f t="shared" si="3"/>
        <v>381.12</v>
      </c>
      <c r="R12" s="23">
        <f t="shared" si="3"/>
        <v>419.23479740287854</v>
      </c>
      <c r="S12" s="26">
        <f t="shared" si="4"/>
        <v>-38.114797402878537</v>
      </c>
    </row>
    <row r="13" spans="2:19" x14ac:dyDescent="0.25">
      <c r="B13" s="727" t="s">
        <v>87</v>
      </c>
      <c r="C13" s="724" t="s">
        <v>85</v>
      </c>
      <c r="D13" s="27" t="s">
        <v>113</v>
      </c>
      <c r="E13" s="28">
        <v>68.599999999999994</v>
      </c>
      <c r="F13" s="29"/>
      <c r="G13" s="24">
        <f t="shared" si="0"/>
        <v>68.599999999999994</v>
      </c>
      <c r="H13" s="28"/>
      <c r="I13" s="29"/>
      <c r="J13" s="24">
        <f t="shared" si="5"/>
        <v>0</v>
      </c>
      <c r="K13" s="28"/>
      <c r="L13" s="29"/>
      <c r="M13" s="24">
        <f t="shared" si="1"/>
        <v>0</v>
      </c>
      <c r="N13" s="28"/>
      <c r="O13" s="29"/>
      <c r="P13" s="25">
        <f t="shared" si="2"/>
        <v>0</v>
      </c>
      <c r="Q13" s="22">
        <f t="shared" si="3"/>
        <v>68.599999999999994</v>
      </c>
      <c r="R13" s="23">
        <f t="shared" si="3"/>
        <v>0</v>
      </c>
      <c r="S13" s="26">
        <f t="shared" si="4"/>
        <v>68.599999999999994</v>
      </c>
    </row>
    <row r="14" spans="2:19" x14ac:dyDescent="0.25">
      <c r="B14" s="728"/>
      <c r="C14" s="725"/>
      <c r="D14" s="27" t="s">
        <v>100</v>
      </c>
      <c r="E14" s="28">
        <v>228.67</v>
      </c>
      <c r="F14" s="29"/>
      <c r="G14" s="24">
        <f t="shared" si="0"/>
        <v>228.67</v>
      </c>
      <c r="H14" s="28"/>
      <c r="I14" s="29"/>
      <c r="J14" s="24">
        <f t="shared" si="5"/>
        <v>0</v>
      </c>
      <c r="K14" s="28"/>
      <c r="L14" s="29"/>
      <c r="M14" s="24">
        <f t="shared" si="1"/>
        <v>0</v>
      </c>
      <c r="N14" s="28"/>
      <c r="O14" s="29">
        <f>I59</f>
        <v>228.67352585611556</v>
      </c>
      <c r="P14" s="25">
        <f t="shared" si="2"/>
        <v>-228.67352585611556</v>
      </c>
      <c r="Q14" s="22">
        <f t="shared" si="3"/>
        <v>228.67</v>
      </c>
      <c r="R14" s="23">
        <f t="shared" si="3"/>
        <v>228.67352585611556</v>
      </c>
      <c r="S14" s="26">
        <f t="shared" si="4"/>
        <v>-3.5258561155728785E-3</v>
      </c>
    </row>
    <row r="15" spans="2:19" ht="15.75" thickBot="1" x14ac:dyDescent="0.3">
      <c r="B15" s="794"/>
      <c r="C15" s="795"/>
      <c r="D15" s="195" t="s">
        <v>114</v>
      </c>
      <c r="E15" s="120">
        <v>160.07</v>
      </c>
      <c r="F15" s="114"/>
      <c r="G15" s="24">
        <f t="shared" si="0"/>
        <v>160.07</v>
      </c>
      <c r="H15" s="113"/>
      <c r="I15" s="114"/>
      <c r="J15" s="24">
        <f t="shared" si="5"/>
        <v>0</v>
      </c>
      <c r="K15" s="113"/>
      <c r="L15" s="114"/>
      <c r="M15" s="24">
        <f t="shared" si="1"/>
        <v>0</v>
      </c>
      <c r="N15" s="113"/>
      <c r="O15" s="114">
        <f>I60</f>
        <v>343.01028878417338</v>
      </c>
      <c r="P15" s="25">
        <f t="shared" si="2"/>
        <v>-343.01028878417338</v>
      </c>
      <c r="Q15" s="22">
        <f t="shared" si="3"/>
        <v>160.07</v>
      </c>
      <c r="R15" s="23">
        <f t="shared" si="3"/>
        <v>343.01028878417338</v>
      </c>
      <c r="S15" s="26">
        <f t="shared" si="4"/>
        <v>-182.94028878417339</v>
      </c>
    </row>
    <row r="16" spans="2:19" ht="15.75" thickBot="1" x14ac:dyDescent="0.3">
      <c r="B16" s="696" t="s">
        <v>10</v>
      </c>
      <c r="C16" s="697"/>
      <c r="D16" s="698"/>
      <c r="E16" s="36">
        <f>SUM(E6:E15)</f>
        <v>933.75</v>
      </c>
      <c r="F16" s="36">
        <f>SUM(F6:F15)</f>
        <v>442.10214998849005</v>
      </c>
      <c r="G16" s="37">
        <f t="shared" ref="G16" si="6">E16-F16</f>
        <v>491.64785001150995</v>
      </c>
      <c r="H16" s="36">
        <f>SUM(H6:H15)</f>
        <v>1826.9300000000003</v>
      </c>
      <c r="I16" s="38"/>
      <c r="J16" s="37">
        <f>H16-I16</f>
        <v>1826.9300000000003</v>
      </c>
      <c r="K16" s="36">
        <f>SUM(K6:K15)</f>
        <v>982.61</v>
      </c>
      <c r="L16" s="38">
        <f>SUM(L6:L15)</f>
        <v>891.82675083885078</v>
      </c>
      <c r="M16" s="37">
        <f t="shared" ref="M16" si="7">K16-L16</f>
        <v>90.783249161149229</v>
      </c>
      <c r="N16" s="36">
        <f>SUM(N6:N15)</f>
        <v>982.61</v>
      </c>
      <c r="O16" s="38">
        <f>SUM(O6:O15)</f>
        <v>1966.5923223625937</v>
      </c>
      <c r="P16" s="37">
        <f t="shared" ref="P16" si="8">N16-O16</f>
        <v>-983.98232236259366</v>
      </c>
      <c r="Q16" s="36">
        <f>SUM(Q6:Q15)</f>
        <v>4725.9000000000005</v>
      </c>
      <c r="R16" s="38">
        <f t="shared" si="3"/>
        <v>3300.5212231899345</v>
      </c>
      <c r="S16" s="37">
        <f t="shared" si="4"/>
        <v>1425.378776810066</v>
      </c>
    </row>
    <row r="19" spans="5:18" ht="15.75" thickBot="1" x14ac:dyDescent="0.3">
      <c r="E19" s="2" t="s">
        <v>26</v>
      </c>
      <c r="F19" s="2" t="s">
        <v>27</v>
      </c>
      <c r="G19" s="2" t="s">
        <v>28</v>
      </c>
      <c r="H19" s="2" t="s">
        <v>29</v>
      </c>
      <c r="I19" s="2" t="s">
        <v>86</v>
      </c>
      <c r="J19" s="2" t="s">
        <v>87</v>
      </c>
    </row>
    <row r="20" spans="5:18" ht="15.75" thickBot="1" x14ac:dyDescent="0.3">
      <c r="E20" s="749" t="s">
        <v>59</v>
      </c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1"/>
    </row>
    <row r="21" spans="5:18" ht="43.5" thickBot="1" x14ac:dyDescent="0.3">
      <c r="E21" s="39" t="s">
        <v>47</v>
      </c>
      <c r="F21" s="40" t="s">
        <v>48</v>
      </c>
      <c r="G21" s="41" t="s">
        <v>49</v>
      </c>
      <c r="H21" s="42" t="s">
        <v>54</v>
      </c>
      <c r="I21" s="43" t="s">
        <v>50</v>
      </c>
      <c r="J21" s="752" t="s">
        <v>51</v>
      </c>
      <c r="K21" s="753"/>
      <c r="L21" s="753"/>
      <c r="M21" s="753"/>
      <c r="N21" s="753"/>
      <c r="O21" s="753"/>
      <c r="P21" s="753"/>
      <c r="Q21" s="754"/>
      <c r="R21" s="43" t="s">
        <v>52</v>
      </c>
    </row>
    <row r="22" spans="5:18" ht="15.75" thickBot="1" x14ac:dyDescent="0.3">
      <c r="E22" s="217">
        <v>655.95699999999999</v>
      </c>
      <c r="F22" s="45">
        <v>6</v>
      </c>
      <c r="G22" s="46">
        <v>43869</v>
      </c>
      <c r="H22" s="47">
        <v>150000</v>
      </c>
      <c r="I22" s="190">
        <f>H22/$E$22</f>
        <v>228.67352585611556</v>
      </c>
      <c r="J22" s="796" t="s">
        <v>154</v>
      </c>
      <c r="K22" s="797"/>
      <c r="L22" s="797"/>
      <c r="M22" s="797"/>
      <c r="N22" s="797"/>
      <c r="O22" s="797"/>
      <c r="P22" s="797"/>
      <c r="Q22" s="798"/>
      <c r="R22" s="48" t="s">
        <v>27</v>
      </c>
    </row>
    <row r="23" spans="5:18" x14ac:dyDescent="0.25">
      <c r="E23" s="743"/>
      <c r="F23" s="49">
        <v>69</v>
      </c>
      <c r="G23" s="50">
        <v>43869</v>
      </c>
      <c r="H23" s="218">
        <v>120000</v>
      </c>
      <c r="I23" s="189">
        <f t="shared" ref="I23:I29" si="9">H23/$E$22</f>
        <v>182.93882068489245</v>
      </c>
      <c r="J23" s="799" t="s">
        <v>155</v>
      </c>
      <c r="K23" s="800"/>
      <c r="L23" s="800"/>
      <c r="M23" s="800"/>
      <c r="N23" s="800"/>
      <c r="O23" s="800"/>
      <c r="P23" s="800"/>
      <c r="Q23" s="801"/>
      <c r="R23" s="52" t="s">
        <v>27</v>
      </c>
    </row>
    <row r="24" spans="5:18" x14ac:dyDescent="0.25">
      <c r="E24" s="743"/>
      <c r="F24" s="53">
        <v>77</v>
      </c>
      <c r="G24" s="54">
        <v>43869</v>
      </c>
      <c r="H24" s="219">
        <v>10000</v>
      </c>
      <c r="I24" s="189">
        <f t="shared" si="9"/>
        <v>15.244901723741037</v>
      </c>
      <c r="J24" s="744" t="s">
        <v>156</v>
      </c>
      <c r="K24" s="744"/>
      <c r="L24" s="744"/>
      <c r="M24" s="744"/>
      <c r="N24" s="744"/>
      <c r="O24" s="744"/>
      <c r="P24" s="744"/>
      <c r="Q24" s="745"/>
      <c r="R24" s="52" t="s">
        <v>28</v>
      </c>
    </row>
    <row r="25" spans="5:18" x14ac:dyDescent="0.25">
      <c r="E25" s="743"/>
      <c r="F25" s="53">
        <v>70</v>
      </c>
      <c r="G25" s="54">
        <v>43869</v>
      </c>
      <c r="H25" s="219">
        <v>10000</v>
      </c>
      <c r="I25" s="189">
        <f t="shared" si="9"/>
        <v>15.244901723741037</v>
      </c>
      <c r="J25" s="744" t="s">
        <v>157</v>
      </c>
      <c r="K25" s="744"/>
      <c r="L25" s="744"/>
      <c r="M25" s="744"/>
      <c r="N25" s="744"/>
      <c r="O25" s="744"/>
      <c r="P25" s="744"/>
      <c r="Q25" s="745"/>
      <c r="R25" s="52" t="s">
        <v>27</v>
      </c>
    </row>
    <row r="26" spans="5:18" x14ac:dyDescent="0.25">
      <c r="E26" s="743"/>
      <c r="F26" s="53"/>
      <c r="G26" s="54"/>
      <c r="H26" s="219"/>
      <c r="I26" s="189">
        <f t="shared" si="9"/>
        <v>0</v>
      </c>
      <c r="J26" s="744"/>
      <c r="K26" s="744"/>
      <c r="L26" s="744"/>
      <c r="M26" s="744"/>
      <c r="N26" s="744"/>
      <c r="O26" s="744"/>
      <c r="P26" s="744"/>
      <c r="Q26" s="745"/>
      <c r="R26" s="52"/>
    </row>
    <row r="27" spans="5:18" x14ac:dyDescent="0.25">
      <c r="E27" s="743"/>
      <c r="F27" s="57"/>
      <c r="G27" s="54"/>
      <c r="H27" s="55"/>
      <c r="I27" s="189">
        <f t="shared" si="9"/>
        <v>0</v>
      </c>
      <c r="J27" s="744"/>
      <c r="K27" s="744"/>
      <c r="L27" s="744"/>
      <c r="M27" s="744"/>
      <c r="N27" s="744"/>
      <c r="O27" s="744"/>
      <c r="P27" s="744"/>
      <c r="Q27" s="745"/>
      <c r="R27" s="52"/>
    </row>
    <row r="28" spans="5:18" x14ac:dyDescent="0.25">
      <c r="E28" s="743"/>
      <c r="F28" s="53"/>
      <c r="G28" s="54"/>
      <c r="H28" s="55"/>
      <c r="I28" s="189">
        <f t="shared" si="9"/>
        <v>0</v>
      </c>
      <c r="J28" s="744"/>
      <c r="K28" s="744"/>
      <c r="L28" s="744"/>
      <c r="M28" s="744"/>
      <c r="N28" s="744"/>
      <c r="O28" s="744"/>
      <c r="P28" s="744"/>
      <c r="Q28" s="745"/>
      <c r="R28" s="59"/>
    </row>
    <row r="29" spans="5:18" ht="15.75" thickBot="1" x14ac:dyDescent="0.3">
      <c r="E29" s="743"/>
      <c r="F29" s="60"/>
      <c r="G29" s="61"/>
      <c r="H29" s="62"/>
      <c r="I29" s="70">
        <f t="shared" si="9"/>
        <v>0</v>
      </c>
      <c r="J29" s="746"/>
      <c r="K29" s="746"/>
      <c r="L29" s="746"/>
      <c r="M29" s="746"/>
      <c r="N29" s="746"/>
      <c r="O29" s="746"/>
      <c r="P29" s="746"/>
      <c r="Q29" s="747"/>
      <c r="R29" s="63"/>
    </row>
    <row r="30" spans="5:18" ht="15.75" thickBot="1" x14ac:dyDescent="0.3">
      <c r="E30" s="64"/>
      <c r="F30" s="736" t="s">
        <v>58</v>
      </c>
      <c r="G30" s="737"/>
      <c r="H30" s="65">
        <f>SUM(H22:H29)</f>
        <v>290000</v>
      </c>
      <c r="I30" s="65">
        <f>SUM(I22:I29)</f>
        <v>442.10214998849005</v>
      </c>
      <c r="J30" s="738"/>
      <c r="K30" s="738"/>
      <c r="L30" s="738"/>
      <c r="M30" s="738"/>
      <c r="N30" s="738"/>
      <c r="O30" s="738"/>
      <c r="P30" s="738"/>
      <c r="Q30" s="739"/>
      <c r="R30" s="66"/>
    </row>
    <row r="31" spans="5:18" ht="15.75" thickBot="1" x14ac:dyDescent="0.3">
      <c r="E31" s="67">
        <v>1</v>
      </c>
      <c r="F31" s="68"/>
      <c r="G31" s="69"/>
      <c r="H31" s="69"/>
      <c r="I31" s="70">
        <f t="shared" ref="I31:I36" si="10">H31/$E$31</f>
        <v>0</v>
      </c>
      <c r="J31" s="740"/>
      <c r="K31" s="740"/>
      <c r="L31" s="740"/>
      <c r="M31" s="740"/>
      <c r="N31" s="740"/>
      <c r="O31" s="740"/>
      <c r="P31" s="740"/>
      <c r="Q31" s="741"/>
      <c r="R31" s="71"/>
    </row>
    <row r="32" spans="5:18" x14ac:dyDescent="0.25">
      <c r="E32" s="781"/>
      <c r="F32" s="72"/>
      <c r="G32" s="73"/>
      <c r="H32" s="74"/>
      <c r="I32" s="70">
        <f t="shared" si="10"/>
        <v>0</v>
      </c>
      <c r="J32" s="765"/>
      <c r="K32" s="765"/>
      <c r="L32" s="765"/>
      <c r="M32" s="765"/>
      <c r="N32" s="765"/>
      <c r="O32" s="765"/>
      <c r="P32" s="765"/>
      <c r="Q32" s="766"/>
      <c r="R32" s="75"/>
    </row>
    <row r="33" spans="5:18" x14ac:dyDescent="0.25">
      <c r="E33" s="743"/>
      <c r="F33" s="72"/>
      <c r="G33" s="73"/>
      <c r="H33" s="76"/>
      <c r="I33" s="70">
        <f t="shared" si="10"/>
        <v>0</v>
      </c>
      <c r="J33" s="765"/>
      <c r="K33" s="765"/>
      <c r="L33" s="765"/>
      <c r="M33" s="765"/>
      <c r="N33" s="765"/>
      <c r="O33" s="765"/>
      <c r="P33" s="765"/>
      <c r="Q33" s="766"/>
      <c r="R33" s="75"/>
    </row>
    <row r="34" spans="5:18" x14ac:dyDescent="0.25">
      <c r="E34" s="743"/>
      <c r="F34" s="77"/>
      <c r="G34" s="73"/>
      <c r="H34" s="74"/>
      <c r="I34" s="70">
        <f t="shared" si="10"/>
        <v>0</v>
      </c>
      <c r="J34" s="765"/>
      <c r="K34" s="765"/>
      <c r="L34" s="765"/>
      <c r="M34" s="765"/>
      <c r="N34" s="765"/>
      <c r="O34" s="765"/>
      <c r="P34" s="765"/>
      <c r="Q34" s="766"/>
      <c r="R34" s="75"/>
    </row>
    <row r="35" spans="5:18" x14ac:dyDescent="0.25">
      <c r="E35" s="743"/>
      <c r="F35" s="77"/>
      <c r="G35" s="73"/>
      <c r="H35" s="74"/>
      <c r="I35" s="70">
        <f t="shared" si="10"/>
        <v>0</v>
      </c>
      <c r="J35" s="765"/>
      <c r="K35" s="765"/>
      <c r="L35" s="765"/>
      <c r="M35" s="765"/>
      <c r="N35" s="765"/>
      <c r="O35" s="765"/>
      <c r="P35" s="765"/>
      <c r="Q35" s="766"/>
      <c r="R35" s="80"/>
    </row>
    <row r="36" spans="5:18" ht="15.75" thickBot="1" x14ac:dyDescent="0.3">
      <c r="E36" s="782"/>
      <c r="F36" s="81"/>
      <c r="G36" s="576"/>
      <c r="H36" s="83"/>
      <c r="I36" s="70">
        <f t="shared" si="10"/>
        <v>0</v>
      </c>
      <c r="J36" s="786"/>
      <c r="K36" s="786"/>
      <c r="L36" s="786"/>
      <c r="M36" s="786"/>
      <c r="N36" s="786"/>
      <c r="O36" s="786"/>
      <c r="P36" s="786"/>
      <c r="Q36" s="787"/>
      <c r="R36" s="80"/>
    </row>
    <row r="37" spans="5:18" ht="15.75" thickBot="1" x14ac:dyDescent="0.3">
      <c r="E37" s="64"/>
      <c r="F37" s="736" t="s">
        <v>57</v>
      </c>
      <c r="G37" s="737"/>
      <c r="H37" s="84">
        <f>SUM(H31:H36)</f>
        <v>0</v>
      </c>
      <c r="I37" s="191">
        <f>SUM(I31:I36)</f>
        <v>0</v>
      </c>
      <c r="J37" s="738"/>
      <c r="K37" s="738"/>
      <c r="L37" s="738"/>
      <c r="M37" s="738"/>
      <c r="N37" s="738"/>
      <c r="O37" s="738"/>
      <c r="P37" s="738"/>
      <c r="Q37" s="739"/>
      <c r="R37" s="66"/>
    </row>
    <row r="38" spans="5:18" ht="15.75" thickBot="1" x14ac:dyDescent="0.3">
      <c r="E38" s="85">
        <v>655.95699999999999</v>
      </c>
      <c r="F38" s="68">
        <v>309</v>
      </c>
      <c r="G38" s="422">
        <v>44056</v>
      </c>
      <c r="H38" s="426">
        <v>225000</v>
      </c>
      <c r="I38" s="70">
        <f>H38/$E$38</f>
        <v>343.01028878417338</v>
      </c>
      <c r="J38" s="779" t="s">
        <v>392</v>
      </c>
      <c r="K38" s="779"/>
      <c r="L38" s="779"/>
      <c r="M38" s="779"/>
      <c r="N38" s="779"/>
      <c r="O38" s="779"/>
      <c r="P38" s="779"/>
      <c r="Q38" s="780"/>
      <c r="R38" s="71" t="s">
        <v>28</v>
      </c>
    </row>
    <row r="39" spans="5:18" x14ac:dyDescent="0.25">
      <c r="E39" s="805"/>
      <c r="F39" s="87"/>
      <c r="G39" s="50">
        <v>44056</v>
      </c>
      <c r="H39" s="213">
        <v>260000</v>
      </c>
      <c r="I39" s="70">
        <f t="shared" ref="I39:I46" si="11">H39/$E$38</f>
        <v>396.36744481726697</v>
      </c>
      <c r="J39" s="788" t="s">
        <v>393</v>
      </c>
      <c r="K39" s="789"/>
      <c r="L39" s="789"/>
      <c r="M39" s="789"/>
      <c r="N39" s="789"/>
      <c r="O39" s="789"/>
      <c r="P39" s="789"/>
      <c r="Q39" s="790"/>
      <c r="R39" s="71" t="s">
        <v>28</v>
      </c>
    </row>
    <row r="40" spans="5:18" x14ac:dyDescent="0.25">
      <c r="E40" s="806"/>
      <c r="F40" s="86">
        <v>65</v>
      </c>
      <c r="G40" s="54">
        <v>44056</v>
      </c>
      <c r="H40" s="214">
        <v>30000</v>
      </c>
      <c r="I40" s="70">
        <f t="shared" si="11"/>
        <v>45.734705171223112</v>
      </c>
      <c r="J40" s="776" t="s">
        <v>394</v>
      </c>
      <c r="K40" s="777"/>
      <c r="L40" s="777"/>
      <c r="M40" s="777"/>
      <c r="N40" s="777"/>
      <c r="O40" s="777"/>
      <c r="P40" s="777"/>
      <c r="Q40" s="778"/>
      <c r="R40" s="71" t="s">
        <v>28</v>
      </c>
    </row>
    <row r="41" spans="5:18" x14ac:dyDescent="0.25">
      <c r="E41" s="806"/>
      <c r="F41" s="86">
        <v>65</v>
      </c>
      <c r="G41" s="54">
        <v>44056</v>
      </c>
      <c r="H41" s="214">
        <v>30000</v>
      </c>
      <c r="I41" s="70">
        <f t="shared" si="11"/>
        <v>45.734705171223112</v>
      </c>
      <c r="J41" s="776" t="s">
        <v>395</v>
      </c>
      <c r="K41" s="777"/>
      <c r="L41" s="777"/>
      <c r="M41" s="777"/>
      <c r="N41" s="777"/>
      <c r="O41" s="777"/>
      <c r="P41" s="777"/>
      <c r="Q41" s="778"/>
      <c r="R41" s="71" t="s">
        <v>28</v>
      </c>
    </row>
    <row r="42" spans="5:18" x14ac:dyDescent="0.25">
      <c r="E42" s="806"/>
      <c r="F42" s="86">
        <v>33</v>
      </c>
      <c r="G42" s="54">
        <v>44055</v>
      </c>
      <c r="H42" s="214">
        <v>40000</v>
      </c>
      <c r="I42" s="70">
        <f t="shared" si="11"/>
        <v>60.979606894964149</v>
      </c>
      <c r="J42" s="776" t="s">
        <v>396</v>
      </c>
      <c r="K42" s="777"/>
      <c r="L42" s="777"/>
      <c r="M42" s="777"/>
      <c r="N42" s="777"/>
      <c r="O42" s="777"/>
      <c r="P42" s="777"/>
      <c r="Q42" s="778"/>
      <c r="R42" s="71" t="s">
        <v>28</v>
      </c>
    </row>
    <row r="43" spans="5:18" x14ac:dyDescent="0.25">
      <c r="E43" s="806"/>
      <c r="F43" s="86"/>
      <c r="G43" s="54"/>
      <c r="H43" s="214"/>
      <c r="I43" s="70">
        <f t="shared" si="11"/>
        <v>0</v>
      </c>
      <c r="J43" s="802"/>
      <c r="K43" s="803"/>
      <c r="L43" s="803"/>
      <c r="M43" s="803"/>
      <c r="N43" s="803"/>
      <c r="O43" s="803"/>
      <c r="P43" s="803"/>
      <c r="Q43" s="804"/>
      <c r="R43" s="71"/>
    </row>
    <row r="44" spans="5:18" x14ac:dyDescent="0.25">
      <c r="E44" s="806"/>
      <c r="F44" s="86"/>
      <c r="G44" s="54"/>
      <c r="H44" s="214"/>
      <c r="I44" s="70">
        <f t="shared" si="11"/>
        <v>0</v>
      </c>
      <c r="J44" s="802"/>
      <c r="K44" s="803"/>
      <c r="L44" s="803"/>
      <c r="M44" s="803"/>
      <c r="N44" s="803"/>
      <c r="O44" s="803"/>
      <c r="P44" s="803"/>
      <c r="Q44" s="804"/>
      <c r="R44" s="71"/>
    </row>
    <row r="45" spans="5:18" x14ac:dyDescent="0.25">
      <c r="E45" s="806"/>
      <c r="F45" s="88"/>
      <c r="G45" s="54"/>
      <c r="H45" s="214"/>
      <c r="I45" s="70">
        <f t="shared" si="11"/>
        <v>0</v>
      </c>
      <c r="J45" s="807"/>
      <c r="K45" s="807"/>
      <c r="L45" s="807"/>
      <c r="M45" s="807"/>
      <c r="N45" s="807"/>
      <c r="O45" s="807"/>
      <c r="P45" s="807"/>
      <c r="Q45" s="808"/>
      <c r="R45" s="71"/>
    </row>
    <row r="46" spans="5:18" ht="15.75" thickBot="1" x14ac:dyDescent="0.3">
      <c r="E46" s="806"/>
      <c r="F46" s="89"/>
      <c r="G46" s="54"/>
      <c r="H46" s="214"/>
      <c r="I46" s="70">
        <f t="shared" si="11"/>
        <v>0</v>
      </c>
      <c r="J46" s="765"/>
      <c r="K46" s="765"/>
      <c r="L46" s="765"/>
      <c r="M46" s="765"/>
      <c r="N46" s="765"/>
      <c r="O46" s="765"/>
      <c r="P46" s="765"/>
      <c r="Q46" s="766"/>
      <c r="R46" s="80"/>
    </row>
    <row r="47" spans="5:18" ht="15.75" thickBot="1" x14ac:dyDescent="0.3">
      <c r="E47" s="64"/>
      <c r="F47" s="736" t="s">
        <v>55</v>
      </c>
      <c r="G47" s="737"/>
      <c r="H47" s="84">
        <f>SUM(H38:H46)</f>
        <v>585000</v>
      </c>
      <c r="I47" s="191">
        <f>SUM(I38:I46)</f>
        <v>891.82675083885078</v>
      </c>
      <c r="J47" s="738"/>
      <c r="K47" s="738"/>
      <c r="L47" s="738"/>
      <c r="M47" s="738"/>
      <c r="N47" s="738"/>
      <c r="O47" s="738"/>
      <c r="P47" s="738"/>
      <c r="Q47" s="739"/>
      <c r="R47" s="66"/>
    </row>
    <row r="48" spans="5:18" ht="15.75" thickBot="1" x14ac:dyDescent="0.3">
      <c r="E48" s="85">
        <v>655.95699999999999</v>
      </c>
      <c r="F48" s="95">
        <v>306</v>
      </c>
      <c r="G48" s="50">
        <v>44106</v>
      </c>
      <c r="H48" s="213">
        <v>20000</v>
      </c>
      <c r="I48" s="70">
        <f>H48/$E$48</f>
        <v>30.489803447482075</v>
      </c>
      <c r="J48" s="809" t="s">
        <v>527</v>
      </c>
      <c r="K48" s="770"/>
      <c r="L48" s="770"/>
      <c r="M48" s="770"/>
      <c r="N48" s="770"/>
      <c r="O48" s="770"/>
      <c r="P48" s="770"/>
      <c r="Q48" s="771"/>
      <c r="R48" s="71" t="s">
        <v>26</v>
      </c>
    </row>
    <row r="49" spans="5:18" x14ac:dyDescent="0.25">
      <c r="E49" s="783"/>
      <c r="F49" s="53">
        <v>307</v>
      </c>
      <c r="G49" s="54">
        <v>44106</v>
      </c>
      <c r="H49" s="214">
        <v>20000</v>
      </c>
      <c r="I49" s="70">
        <f t="shared" ref="I49:I53" si="12">H49/$E$48</f>
        <v>30.489803447482075</v>
      </c>
      <c r="J49" s="810" t="s">
        <v>528</v>
      </c>
      <c r="K49" s="810"/>
      <c r="L49" s="810"/>
      <c r="M49" s="810"/>
      <c r="N49" s="810"/>
      <c r="O49" s="810"/>
      <c r="P49" s="810"/>
      <c r="Q49" s="811"/>
      <c r="R49" s="71" t="s">
        <v>26</v>
      </c>
    </row>
    <row r="50" spans="5:18" x14ac:dyDescent="0.25">
      <c r="E50" s="784"/>
      <c r="F50" s="53">
        <v>313</v>
      </c>
      <c r="G50" s="54">
        <v>44111</v>
      </c>
      <c r="H50" s="214">
        <v>20000</v>
      </c>
      <c r="I50" s="70">
        <f t="shared" si="12"/>
        <v>30.489803447482075</v>
      </c>
      <c r="J50" s="744" t="s">
        <v>533</v>
      </c>
      <c r="K50" s="744"/>
      <c r="L50" s="744"/>
      <c r="M50" s="744"/>
      <c r="N50" s="744"/>
      <c r="O50" s="744"/>
      <c r="P50" s="744"/>
      <c r="Q50" s="745"/>
      <c r="R50" s="71" t="s">
        <v>26</v>
      </c>
    </row>
    <row r="51" spans="5:18" x14ac:dyDescent="0.25">
      <c r="E51" s="784"/>
      <c r="F51" s="53">
        <v>314</v>
      </c>
      <c r="G51" s="54">
        <v>44111</v>
      </c>
      <c r="H51" s="214">
        <v>20000</v>
      </c>
      <c r="I51" s="70">
        <f t="shared" si="12"/>
        <v>30.489803447482075</v>
      </c>
      <c r="J51" s="744" t="s">
        <v>534</v>
      </c>
      <c r="K51" s="744"/>
      <c r="L51" s="744"/>
      <c r="M51" s="744"/>
      <c r="N51" s="744"/>
      <c r="O51" s="744"/>
      <c r="P51" s="744"/>
      <c r="Q51" s="745"/>
      <c r="R51" s="71" t="s">
        <v>26</v>
      </c>
    </row>
    <row r="52" spans="5:18" x14ac:dyDescent="0.25">
      <c r="E52" s="784"/>
      <c r="F52" s="53">
        <v>318</v>
      </c>
      <c r="G52" s="54">
        <v>44124</v>
      </c>
      <c r="H52" s="214">
        <v>20000</v>
      </c>
      <c r="I52" s="70">
        <f t="shared" si="12"/>
        <v>30.489803447482075</v>
      </c>
      <c r="J52" s="744" t="s">
        <v>558</v>
      </c>
      <c r="K52" s="744"/>
      <c r="L52" s="744"/>
      <c r="M52" s="744"/>
      <c r="N52" s="744"/>
      <c r="O52" s="744"/>
      <c r="P52" s="744"/>
      <c r="Q52" s="745"/>
      <c r="R52" s="71" t="s">
        <v>26</v>
      </c>
    </row>
    <row r="53" spans="5:18" x14ac:dyDescent="0.25">
      <c r="E53" s="784"/>
      <c r="F53" s="53">
        <v>321</v>
      </c>
      <c r="G53" s="54">
        <v>44130</v>
      </c>
      <c r="H53" s="214">
        <v>20000</v>
      </c>
      <c r="I53" s="70">
        <f t="shared" si="12"/>
        <v>30.489803447482075</v>
      </c>
      <c r="J53" s="744" t="s">
        <v>565</v>
      </c>
      <c r="K53" s="744"/>
      <c r="L53" s="744"/>
      <c r="M53" s="744"/>
      <c r="N53" s="744"/>
      <c r="O53" s="744"/>
      <c r="P53" s="744"/>
      <c r="Q53" s="745"/>
      <c r="R53" s="71" t="s">
        <v>26</v>
      </c>
    </row>
    <row r="54" spans="5:18" x14ac:dyDescent="0.25">
      <c r="E54" s="784"/>
      <c r="F54" s="53">
        <v>322</v>
      </c>
      <c r="G54" s="54">
        <v>44130</v>
      </c>
      <c r="H54" s="214">
        <v>20000</v>
      </c>
      <c r="I54" s="70">
        <f t="shared" ref="I54:I66" si="13">H54/$E$48</f>
        <v>30.489803447482075</v>
      </c>
      <c r="J54" s="744" t="s">
        <v>568</v>
      </c>
      <c r="K54" s="744"/>
      <c r="L54" s="744"/>
      <c r="M54" s="744"/>
      <c r="N54" s="744"/>
      <c r="O54" s="744"/>
      <c r="P54" s="744"/>
      <c r="Q54" s="745"/>
      <c r="R54" s="71" t="s">
        <v>26</v>
      </c>
    </row>
    <row r="55" spans="5:18" x14ac:dyDescent="0.25">
      <c r="E55" s="784"/>
      <c r="F55" s="53"/>
      <c r="G55" s="54">
        <v>44118</v>
      </c>
      <c r="H55" s="214">
        <v>100000</v>
      </c>
      <c r="I55" s="70">
        <f t="shared" si="13"/>
        <v>152.44901723741037</v>
      </c>
      <c r="J55" s="744" t="s">
        <v>573</v>
      </c>
      <c r="K55" s="744"/>
      <c r="L55" s="744"/>
      <c r="M55" s="744"/>
      <c r="N55" s="744"/>
      <c r="O55" s="744"/>
      <c r="P55" s="744"/>
      <c r="Q55" s="745"/>
      <c r="R55" s="71" t="s">
        <v>86</v>
      </c>
    </row>
    <row r="56" spans="5:18" x14ac:dyDescent="0.25">
      <c r="E56" s="784"/>
      <c r="F56" s="53">
        <v>62</v>
      </c>
      <c r="G56" s="54">
        <v>44118</v>
      </c>
      <c r="H56" s="214">
        <v>100000</v>
      </c>
      <c r="I56" s="70">
        <f t="shared" si="13"/>
        <v>152.44901723741037</v>
      </c>
      <c r="J56" s="744" t="s">
        <v>572</v>
      </c>
      <c r="K56" s="744"/>
      <c r="L56" s="744"/>
      <c r="M56" s="744"/>
      <c r="N56" s="744"/>
      <c r="O56" s="744"/>
      <c r="P56" s="744"/>
      <c r="Q56" s="745"/>
      <c r="R56" s="71" t="s">
        <v>86</v>
      </c>
    </row>
    <row r="57" spans="5:18" x14ac:dyDescent="0.25">
      <c r="E57" s="784"/>
      <c r="F57" s="53">
        <v>315</v>
      </c>
      <c r="G57" s="54">
        <v>44118</v>
      </c>
      <c r="H57" s="214">
        <v>75000</v>
      </c>
      <c r="I57" s="70">
        <f t="shared" si="13"/>
        <v>114.33676292805778</v>
      </c>
      <c r="J57" s="744" t="s">
        <v>574</v>
      </c>
      <c r="K57" s="744"/>
      <c r="L57" s="744"/>
      <c r="M57" s="744"/>
      <c r="N57" s="744"/>
      <c r="O57" s="744"/>
      <c r="P57" s="744"/>
      <c r="Q57" s="745"/>
      <c r="R57" s="71" t="s">
        <v>86</v>
      </c>
    </row>
    <row r="58" spans="5:18" x14ac:dyDescent="0.25">
      <c r="E58" s="784"/>
      <c r="F58" s="53">
        <v>308</v>
      </c>
      <c r="G58" s="54">
        <v>44112</v>
      </c>
      <c r="H58" s="214">
        <v>100000</v>
      </c>
      <c r="I58" s="70">
        <f t="shared" si="13"/>
        <v>152.44901723741037</v>
      </c>
      <c r="J58" s="744" t="s">
        <v>590</v>
      </c>
      <c r="K58" s="744"/>
      <c r="L58" s="744"/>
      <c r="M58" s="744"/>
      <c r="N58" s="744"/>
      <c r="O58" s="744"/>
      <c r="P58" s="744"/>
      <c r="Q58" s="745"/>
      <c r="R58" s="71" t="s">
        <v>29</v>
      </c>
    </row>
    <row r="59" spans="5:18" x14ac:dyDescent="0.25">
      <c r="E59" s="784"/>
      <c r="F59" s="98"/>
      <c r="G59" s="457">
        <v>44119</v>
      </c>
      <c r="H59" s="215">
        <v>150000</v>
      </c>
      <c r="I59" s="70">
        <f t="shared" si="13"/>
        <v>228.67352585611556</v>
      </c>
      <c r="J59" s="744" t="s">
        <v>591</v>
      </c>
      <c r="K59" s="744"/>
      <c r="L59" s="744"/>
      <c r="M59" s="744"/>
      <c r="N59" s="744"/>
      <c r="O59" s="744"/>
      <c r="P59" s="744"/>
      <c r="Q59" s="745"/>
      <c r="R59" s="71" t="s">
        <v>87</v>
      </c>
    </row>
    <row r="60" spans="5:18" x14ac:dyDescent="0.25">
      <c r="E60" s="784"/>
      <c r="F60" s="98">
        <v>113</v>
      </c>
      <c r="G60" s="457">
        <v>44119</v>
      </c>
      <c r="H60" s="215">
        <v>225000</v>
      </c>
      <c r="I60" s="70">
        <f t="shared" si="13"/>
        <v>343.01028878417338</v>
      </c>
      <c r="J60" s="744" t="s">
        <v>592</v>
      </c>
      <c r="K60" s="744"/>
      <c r="L60" s="744"/>
      <c r="M60" s="744"/>
      <c r="N60" s="744"/>
      <c r="O60" s="744"/>
      <c r="P60" s="744"/>
      <c r="Q60" s="745"/>
      <c r="R60" s="71" t="s">
        <v>87</v>
      </c>
    </row>
    <row r="61" spans="5:18" x14ac:dyDescent="0.25">
      <c r="E61" s="784"/>
      <c r="F61" s="98">
        <v>317</v>
      </c>
      <c r="G61" s="457">
        <v>44121</v>
      </c>
      <c r="H61" s="215">
        <v>100000</v>
      </c>
      <c r="I61" s="70">
        <f t="shared" si="13"/>
        <v>152.44901723741037</v>
      </c>
      <c r="J61" s="744" t="s">
        <v>593</v>
      </c>
      <c r="K61" s="744"/>
      <c r="L61" s="744"/>
      <c r="M61" s="744"/>
      <c r="N61" s="744"/>
      <c r="O61" s="744"/>
      <c r="P61" s="744"/>
      <c r="Q61" s="745"/>
      <c r="R61" s="71" t="s">
        <v>29</v>
      </c>
    </row>
    <row r="62" spans="5:18" x14ac:dyDescent="0.25">
      <c r="E62" s="784"/>
      <c r="F62" s="98">
        <v>319</v>
      </c>
      <c r="G62" s="457">
        <v>44121</v>
      </c>
      <c r="H62" s="215">
        <v>100000</v>
      </c>
      <c r="I62" s="70">
        <f t="shared" si="13"/>
        <v>152.44901723741037</v>
      </c>
      <c r="J62" s="744" t="s">
        <v>594</v>
      </c>
      <c r="K62" s="744"/>
      <c r="L62" s="744"/>
      <c r="M62" s="744"/>
      <c r="N62" s="744"/>
      <c r="O62" s="744"/>
      <c r="P62" s="744"/>
      <c r="Q62" s="745"/>
      <c r="R62" s="71" t="s">
        <v>29</v>
      </c>
    </row>
    <row r="63" spans="5:18" x14ac:dyDescent="0.25">
      <c r="E63" s="784"/>
      <c r="F63" s="98">
        <v>323</v>
      </c>
      <c r="G63" s="457">
        <v>44128</v>
      </c>
      <c r="H63" s="215">
        <v>100000</v>
      </c>
      <c r="I63" s="70">
        <f t="shared" si="13"/>
        <v>152.44901723741037</v>
      </c>
      <c r="J63" s="744" t="s">
        <v>595</v>
      </c>
      <c r="K63" s="744"/>
      <c r="L63" s="744"/>
      <c r="M63" s="744"/>
      <c r="N63" s="744"/>
      <c r="O63" s="744"/>
      <c r="P63" s="744"/>
      <c r="Q63" s="745"/>
      <c r="R63" s="71" t="s">
        <v>29</v>
      </c>
    </row>
    <row r="64" spans="5:18" x14ac:dyDescent="0.25">
      <c r="E64" s="784"/>
      <c r="F64" s="98">
        <v>325</v>
      </c>
      <c r="G64" s="457">
        <v>44131</v>
      </c>
      <c r="H64" s="215">
        <v>100000</v>
      </c>
      <c r="I64" s="70">
        <f t="shared" si="13"/>
        <v>152.44901723741037</v>
      </c>
      <c r="J64" s="744" t="s">
        <v>596</v>
      </c>
      <c r="K64" s="744"/>
      <c r="L64" s="744"/>
      <c r="M64" s="744"/>
      <c r="N64" s="744"/>
      <c r="O64" s="744"/>
      <c r="P64" s="744"/>
      <c r="Q64" s="745"/>
      <c r="R64" s="71" t="s">
        <v>29</v>
      </c>
    </row>
    <row r="65" spans="5:18" x14ac:dyDescent="0.25">
      <c r="E65" s="784"/>
      <c r="F65" s="98"/>
      <c r="G65" s="457"/>
      <c r="H65" s="215"/>
      <c r="I65" s="70"/>
      <c r="J65" s="643"/>
      <c r="K65" s="643"/>
      <c r="L65" s="643"/>
      <c r="M65" s="643"/>
      <c r="N65" s="643"/>
      <c r="O65" s="643"/>
      <c r="P65" s="643"/>
      <c r="Q65" s="644"/>
      <c r="R65" s="71"/>
    </row>
    <row r="66" spans="5:18" ht="15.75" thickBot="1" x14ac:dyDescent="0.3">
      <c r="E66" s="784"/>
      <c r="F66" s="98"/>
      <c r="G66" s="99"/>
      <c r="H66" s="99"/>
      <c r="I66" s="70">
        <f t="shared" si="13"/>
        <v>0</v>
      </c>
      <c r="J66" s="755"/>
      <c r="K66" s="755"/>
      <c r="L66" s="755"/>
      <c r="M66" s="755"/>
      <c r="N66" s="755"/>
      <c r="O66" s="755"/>
      <c r="P66" s="755"/>
      <c r="Q66" s="756"/>
      <c r="R66" s="94"/>
    </row>
    <row r="67" spans="5:18" ht="15.75" thickBot="1" x14ac:dyDescent="0.3">
      <c r="E67" s="64"/>
      <c r="F67" s="736" t="s">
        <v>56</v>
      </c>
      <c r="G67" s="769"/>
      <c r="H67" s="84">
        <f>SUM(H48:H66)</f>
        <v>1290000</v>
      </c>
      <c r="I67" s="191">
        <f>SUM(I48:I66)</f>
        <v>1966.5923223625937</v>
      </c>
      <c r="J67" s="738"/>
      <c r="K67" s="767"/>
      <c r="L67" s="767"/>
      <c r="M67" s="767"/>
      <c r="N67" s="767"/>
      <c r="O67" s="767"/>
      <c r="P67" s="767"/>
      <c r="Q67" s="768"/>
      <c r="R67" s="66"/>
    </row>
    <row r="68" spans="5:18" ht="15.75" thickBot="1" x14ac:dyDescent="0.3">
      <c r="E68" s="100"/>
      <c r="F68" s="101" t="s">
        <v>53</v>
      </c>
      <c r="G68" s="102"/>
      <c r="H68" s="103">
        <f>SUM(H67,H47,H37,H30)</f>
        <v>2165000</v>
      </c>
      <c r="I68" s="103">
        <f>SUM(I67,I47,I37,I30)</f>
        <v>3300.5212231899345</v>
      </c>
      <c r="J68" s="757"/>
      <c r="K68" s="757"/>
      <c r="L68" s="757"/>
      <c r="M68" s="757"/>
      <c r="N68" s="757"/>
      <c r="O68" s="757"/>
      <c r="P68" s="757"/>
      <c r="Q68" s="758"/>
      <c r="R68" s="104"/>
    </row>
  </sheetData>
  <mergeCells count="71">
    <mergeCell ref="J68:Q68"/>
    <mergeCell ref="F47:G47"/>
    <mergeCell ref="J47:Q47"/>
    <mergeCell ref="J48:Q48"/>
    <mergeCell ref="E49:E66"/>
    <mergeCell ref="J49:Q49"/>
    <mergeCell ref="J50:Q50"/>
    <mergeCell ref="J51:Q51"/>
    <mergeCell ref="J52:Q52"/>
    <mergeCell ref="J53:Q53"/>
    <mergeCell ref="J66:Q66"/>
    <mergeCell ref="J54:Q54"/>
    <mergeCell ref="J55:Q55"/>
    <mergeCell ref="J56:Q56"/>
    <mergeCell ref="J57:Q57"/>
    <mergeCell ref="J58:Q58"/>
    <mergeCell ref="J43:Q43"/>
    <mergeCell ref="J44:Q44"/>
    <mergeCell ref="E32:E36"/>
    <mergeCell ref="J32:Q32"/>
    <mergeCell ref="F67:G67"/>
    <mergeCell ref="J67:Q67"/>
    <mergeCell ref="E39:E46"/>
    <mergeCell ref="J39:Q39"/>
    <mergeCell ref="J40:Q40"/>
    <mergeCell ref="J41:Q41"/>
    <mergeCell ref="J42:Q42"/>
    <mergeCell ref="J45:Q45"/>
    <mergeCell ref="J46:Q46"/>
    <mergeCell ref="J35:Q35"/>
    <mergeCell ref="J36:Q36"/>
    <mergeCell ref="F37:G37"/>
    <mergeCell ref="J37:Q37"/>
    <mergeCell ref="J38:Q38"/>
    <mergeCell ref="F30:G30"/>
    <mergeCell ref="J30:Q30"/>
    <mergeCell ref="J31:Q31"/>
    <mergeCell ref="J33:Q33"/>
    <mergeCell ref="J34:Q34"/>
    <mergeCell ref="J21:Q21"/>
    <mergeCell ref="J22:Q22"/>
    <mergeCell ref="E23:E29"/>
    <mergeCell ref="J23:Q23"/>
    <mergeCell ref="J24:Q24"/>
    <mergeCell ref="J25:Q25"/>
    <mergeCell ref="J26:Q26"/>
    <mergeCell ref="J27:Q27"/>
    <mergeCell ref="J28:Q28"/>
    <mergeCell ref="J29:Q29"/>
    <mergeCell ref="E20:R20"/>
    <mergeCell ref="B3:B4"/>
    <mergeCell ref="C3:C4"/>
    <mergeCell ref="D3:D4"/>
    <mergeCell ref="E3:G3"/>
    <mergeCell ref="H3:J3"/>
    <mergeCell ref="K3:M3"/>
    <mergeCell ref="B8:B10"/>
    <mergeCell ref="C8:C10"/>
    <mergeCell ref="B13:B15"/>
    <mergeCell ref="C13:C15"/>
    <mergeCell ref="N3:P3"/>
    <mergeCell ref="Q3:S3"/>
    <mergeCell ref="B5:D5"/>
    <mergeCell ref="E5:S5"/>
    <mergeCell ref="B16:D16"/>
    <mergeCell ref="J64:Q64"/>
    <mergeCell ref="J59:Q59"/>
    <mergeCell ref="J60:Q60"/>
    <mergeCell ref="J63:Q63"/>
    <mergeCell ref="J61:Q61"/>
    <mergeCell ref="J62:Q62"/>
  </mergeCells>
  <dataValidations count="1">
    <dataValidation type="list" allowBlank="1" showInputMessage="1" showErrorMessage="1" sqref="R22:R68" xr:uid="{00000000-0002-0000-0200-000000000000}">
      <formula1>$E$19:$J$19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79"/>
  <sheetViews>
    <sheetView topLeftCell="D1" zoomScale="93" zoomScaleNormal="93" workbookViewId="0">
      <selection activeCell="E78" sqref="E78:R79"/>
    </sheetView>
  </sheetViews>
  <sheetFormatPr baseColWidth="10" defaultColWidth="11.42578125" defaultRowHeight="15" x14ac:dyDescent="0.25"/>
  <cols>
    <col min="1" max="2" width="11.42578125" style="2"/>
    <col min="3" max="3" width="42" style="2" customWidth="1"/>
    <col min="4" max="7" width="11.42578125" style="2"/>
    <col min="8" max="8" width="14" style="2" customWidth="1"/>
    <col min="9" max="17" width="11.42578125" style="2"/>
    <col min="18" max="18" width="12.85546875" style="2" customWidth="1"/>
    <col min="19" max="16384" width="11.42578125" style="2"/>
  </cols>
  <sheetData>
    <row r="2" spans="2:19" ht="14.45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 x14ac:dyDescent="0.3">
      <c r="B5" s="699" t="s">
        <v>22</v>
      </c>
      <c r="C5" s="700"/>
      <c r="D5" s="701"/>
      <c r="E5" s="686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8"/>
    </row>
    <row r="6" spans="2:19" ht="42.75" customHeight="1" thickBot="1" x14ac:dyDescent="0.3">
      <c r="B6" s="115" t="s">
        <v>30</v>
      </c>
      <c r="C6" s="161" t="s">
        <v>89</v>
      </c>
      <c r="D6" s="116"/>
      <c r="E6" s="117">
        <v>228.68</v>
      </c>
      <c r="F6" s="118">
        <f>I15+I16+I17+I18</f>
        <v>90.021144678690831</v>
      </c>
      <c r="G6" s="108">
        <f t="shared" ref="G6:G9" si="0">E6-F6</f>
        <v>138.65885532130918</v>
      </c>
      <c r="H6" s="117">
        <v>228.67</v>
      </c>
      <c r="I6" s="118">
        <f>I24+I25+I26+I27+I28+I29+I30+I31+I32+I33</f>
        <v>457.34705171223118</v>
      </c>
      <c r="J6" s="108">
        <f t="shared" ref="J6:J7" si="1">H6-I6</f>
        <v>-228.67705171223119</v>
      </c>
      <c r="K6" s="117">
        <v>228.67</v>
      </c>
      <c r="L6" s="118">
        <f>I38+I39+I40+I41</f>
        <v>91.469410342446224</v>
      </c>
      <c r="M6" s="108">
        <f t="shared" ref="M6:M7" si="2">K6-L6</f>
        <v>137.20058965755376</v>
      </c>
      <c r="N6" s="117">
        <v>228.67</v>
      </c>
      <c r="O6" s="118">
        <f>SUM(I46:I75)</f>
        <v>589.97769670877835</v>
      </c>
      <c r="P6" s="109">
        <f t="shared" ref="P6:P7" si="3">N6-O6</f>
        <v>-361.30769670877839</v>
      </c>
      <c r="Q6" s="110">
        <f t="shared" ref="Q6:R10" si="4">N6+K6+H6+E6</f>
        <v>914.69</v>
      </c>
      <c r="R6" s="111">
        <f t="shared" si="4"/>
        <v>1228.8153034421466</v>
      </c>
      <c r="S6" s="112">
        <f t="shared" ref="S6:S10" si="5">Q6-R6</f>
        <v>-314.12530344214656</v>
      </c>
    </row>
    <row r="7" spans="2:19" ht="67.5" hidden="1" customHeight="1" x14ac:dyDescent="0.25">
      <c r="B7" s="119"/>
      <c r="C7" s="177" t="s">
        <v>119</v>
      </c>
      <c r="D7" s="27"/>
      <c r="E7" s="28"/>
      <c r="F7" s="29"/>
      <c r="G7" s="24">
        <f t="shared" si="0"/>
        <v>0</v>
      </c>
      <c r="H7" s="28"/>
      <c r="I7" s="29"/>
      <c r="J7" s="24">
        <f t="shared" si="1"/>
        <v>0</v>
      </c>
      <c r="K7" s="28"/>
      <c r="L7" s="29"/>
      <c r="M7" s="24">
        <f t="shared" si="2"/>
        <v>0</v>
      </c>
      <c r="N7" s="28"/>
      <c r="O7" s="29"/>
      <c r="P7" s="25">
        <f t="shared" si="3"/>
        <v>0</v>
      </c>
      <c r="Q7" s="22">
        <f t="shared" si="4"/>
        <v>0</v>
      </c>
      <c r="R7" s="23">
        <f t="shared" si="4"/>
        <v>0</v>
      </c>
      <c r="S7" s="26">
        <f t="shared" si="5"/>
        <v>0</v>
      </c>
    </row>
    <row r="8" spans="2:19" ht="42" hidden="1" customHeight="1" x14ac:dyDescent="0.25">
      <c r="B8" s="138"/>
      <c r="C8" s="178" t="s">
        <v>120</v>
      </c>
      <c r="D8" s="174"/>
      <c r="E8" s="175"/>
      <c r="F8" s="176"/>
      <c r="G8" s="24">
        <f t="shared" si="0"/>
        <v>0</v>
      </c>
      <c r="H8" s="175"/>
      <c r="I8" s="176"/>
      <c r="J8" s="33"/>
      <c r="K8" s="175"/>
      <c r="L8" s="176"/>
      <c r="M8" s="33"/>
      <c r="N8" s="175"/>
      <c r="O8" s="176"/>
      <c r="P8" s="34"/>
      <c r="Q8" s="22">
        <f t="shared" si="4"/>
        <v>0</v>
      </c>
      <c r="R8" s="23">
        <f t="shared" si="4"/>
        <v>0</v>
      </c>
      <c r="S8" s="26">
        <f t="shared" si="5"/>
        <v>0</v>
      </c>
    </row>
    <row r="9" spans="2:19" ht="47.25" hidden="1" customHeight="1" x14ac:dyDescent="0.25">
      <c r="B9" s="138"/>
      <c r="C9" s="178" t="s">
        <v>121</v>
      </c>
      <c r="D9" s="174"/>
      <c r="E9" s="175"/>
      <c r="F9" s="176"/>
      <c r="G9" s="24">
        <f t="shared" si="0"/>
        <v>0</v>
      </c>
      <c r="H9" s="175"/>
      <c r="I9" s="176"/>
      <c r="J9" s="33"/>
      <c r="K9" s="175"/>
      <c r="L9" s="176"/>
      <c r="M9" s="33"/>
      <c r="N9" s="175"/>
      <c r="O9" s="176"/>
      <c r="P9" s="34"/>
      <c r="Q9" s="22">
        <f t="shared" si="4"/>
        <v>0</v>
      </c>
      <c r="R9" s="23">
        <f t="shared" si="4"/>
        <v>0</v>
      </c>
      <c r="S9" s="26">
        <f t="shared" si="5"/>
        <v>0</v>
      </c>
    </row>
    <row r="10" spans="2:19" ht="15.75" thickBot="1" x14ac:dyDescent="0.3">
      <c r="B10" s="674" t="s">
        <v>11</v>
      </c>
      <c r="C10" s="675"/>
      <c r="D10" s="676"/>
      <c r="E10" s="36">
        <f>SUM(E6:E9)</f>
        <v>228.68</v>
      </c>
      <c r="F10" s="36">
        <f>SUM(F6:F9)</f>
        <v>90.021144678690831</v>
      </c>
      <c r="G10" s="37">
        <f t="shared" ref="G10" si="6">E10-F10</f>
        <v>138.65885532130918</v>
      </c>
      <c r="H10" s="36">
        <f>SUM(H6:H9)</f>
        <v>228.67</v>
      </c>
      <c r="I10" s="38">
        <f>SUM(I6)</f>
        <v>457.34705171223118</v>
      </c>
      <c r="J10" s="37">
        <f t="shared" ref="J10" si="7">H10-I10</f>
        <v>-228.67705171223119</v>
      </c>
      <c r="K10" s="36">
        <f>SUM(K6:K9)</f>
        <v>228.67</v>
      </c>
      <c r="L10" s="38">
        <f>L6</f>
        <v>91.469410342446224</v>
      </c>
      <c r="M10" s="37">
        <f t="shared" ref="M10" si="8">K10-L10</f>
        <v>137.20058965755376</v>
      </c>
      <c r="N10" s="36">
        <f>SUM(N6:N9)</f>
        <v>228.67</v>
      </c>
      <c r="O10" s="38">
        <f>O6</f>
        <v>589.97769670877835</v>
      </c>
      <c r="P10" s="37">
        <f t="shared" ref="P10" si="9">N10-O10</f>
        <v>-361.30769670877839</v>
      </c>
      <c r="Q10" s="36">
        <f>SUM(Q6:Q9)</f>
        <v>914.69</v>
      </c>
      <c r="R10" s="38">
        <f t="shared" si="4"/>
        <v>1228.8153034421466</v>
      </c>
      <c r="S10" s="37">
        <f t="shared" si="5"/>
        <v>-314.12530344214656</v>
      </c>
    </row>
    <row r="12" spans="2:19" ht="14.45" thickBot="1" x14ac:dyDescent="0.3"/>
    <row r="13" spans="2:19" ht="15.75" thickBot="1" x14ac:dyDescent="0.3">
      <c r="E13" s="749" t="s">
        <v>59</v>
      </c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1"/>
    </row>
    <row r="14" spans="2:19" ht="43.5" thickBot="1" x14ac:dyDescent="0.3">
      <c r="E14" s="39" t="s">
        <v>47</v>
      </c>
      <c r="F14" s="40" t="s">
        <v>48</v>
      </c>
      <c r="G14" s="41" t="s">
        <v>49</v>
      </c>
      <c r="H14" s="42" t="s">
        <v>54</v>
      </c>
      <c r="I14" s="43" t="s">
        <v>50</v>
      </c>
      <c r="J14" s="752" t="s">
        <v>51</v>
      </c>
      <c r="K14" s="753"/>
      <c r="L14" s="753"/>
      <c r="M14" s="753"/>
      <c r="N14" s="753"/>
      <c r="O14" s="753"/>
      <c r="P14" s="753"/>
      <c r="Q14" s="754"/>
      <c r="R14" s="43" t="s">
        <v>52</v>
      </c>
    </row>
    <row r="15" spans="2:19" ht="15.75" thickBot="1" x14ac:dyDescent="0.3">
      <c r="E15" s="217">
        <v>655.95699999999999</v>
      </c>
      <c r="F15" s="45">
        <v>85</v>
      </c>
      <c r="G15" s="46">
        <v>43890</v>
      </c>
      <c r="H15" s="47">
        <v>20000</v>
      </c>
      <c r="I15" s="190">
        <f>H15/$E$15</f>
        <v>30.489803447482075</v>
      </c>
      <c r="J15" s="797" t="s">
        <v>252</v>
      </c>
      <c r="K15" s="797"/>
      <c r="L15" s="797"/>
      <c r="M15" s="797"/>
      <c r="N15" s="797"/>
      <c r="O15" s="797"/>
      <c r="P15" s="797"/>
      <c r="Q15" s="798"/>
      <c r="R15" s="48" t="s">
        <v>30</v>
      </c>
    </row>
    <row r="16" spans="2:19" x14ac:dyDescent="0.25">
      <c r="E16" s="743"/>
      <c r="F16" s="49">
        <v>86</v>
      </c>
      <c r="G16" s="50">
        <v>43890</v>
      </c>
      <c r="H16" s="218">
        <v>20000</v>
      </c>
      <c r="I16" s="189">
        <f t="shared" ref="I16:I22" si="10">H16/$E$15</f>
        <v>30.489803447482075</v>
      </c>
      <c r="J16" s="799" t="s">
        <v>253</v>
      </c>
      <c r="K16" s="800"/>
      <c r="L16" s="800"/>
      <c r="M16" s="800"/>
      <c r="N16" s="800"/>
      <c r="O16" s="800"/>
      <c r="P16" s="800"/>
      <c r="Q16" s="812"/>
      <c r="R16" s="52" t="s">
        <v>30</v>
      </c>
    </row>
    <row r="17" spans="5:18" x14ac:dyDescent="0.25">
      <c r="E17" s="743"/>
      <c r="F17" s="53">
        <v>13</v>
      </c>
      <c r="G17" s="54">
        <v>43890</v>
      </c>
      <c r="H17" s="219">
        <v>10800</v>
      </c>
      <c r="I17" s="189">
        <f t="shared" si="10"/>
        <v>16.464493861640321</v>
      </c>
      <c r="J17" s="744" t="s">
        <v>161</v>
      </c>
      <c r="K17" s="744"/>
      <c r="L17" s="744"/>
      <c r="M17" s="744"/>
      <c r="N17" s="744"/>
      <c r="O17" s="744"/>
      <c r="P17" s="744"/>
      <c r="Q17" s="745"/>
      <c r="R17" s="52" t="s">
        <v>30</v>
      </c>
    </row>
    <row r="18" spans="5:18" x14ac:dyDescent="0.25">
      <c r="E18" s="743"/>
      <c r="F18" s="53">
        <v>10315</v>
      </c>
      <c r="G18" s="54">
        <v>43890</v>
      </c>
      <c r="H18" s="219">
        <v>8250</v>
      </c>
      <c r="I18" s="189">
        <f t="shared" si="10"/>
        <v>12.577043922086357</v>
      </c>
      <c r="J18" s="744" t="s">
        <v>161</v>
      </c>
      <c r="K18" s="744"/>
      <c r="L18" s="744"/>
      <c r="M18" s="744"/>
      <c r="N18" s="744"/>
      <c r="O18" s="744"/>
      <c r="P18" s="744"/>
      <c r="Q18" s="745"/>
      <c r="R18" s="52" t="s">
        <v>30</v>
      </c>
    </row>
    <row r="19" spans="5:18" x14ac:dyDescent="0.25">
      <c r="E19" s="743"/>
      <c r="F19" s="53"/>
      <c r="G19" s="54"/>
      <c r="H19" s="219"/>
      <c r="I19" s="189">
        <f t="shared" si="10"/>
        <v>0</v>
      </c>
      <c r="J19" s="744"/>
      <c r="K19" s="744"/>
      <c r="L19" s="744"/>
      <c r="M19" s="744"/>
      <c r="N19" s="744"/>
      <c r="O19" s="744"/>
      <c r="P19" s="744"/>
      <c r="Q19" s="745"/>
      <c r="R19" s="52"/>
    </row>
    <row r="20" spans="5:18" x14ac:dyDescent="0.25">
      <c r="E20" s="743"/>
      <c r="F20" s="53"/>
      <c r="G20" s="54"/>
      <c r="H20" s="219"/>
      <c r="I20" s="189">
        <f t="shared" si="10"/>
        <v>0</v>
      </c>
      <c r="J20" s="744"/>
      <c r="K20" s="744"/>
      <c r="L20" s="744"/>
      <c r="M20" s="744"/>
      <c r="N20" s="744"/>
      <c r="O20" s="744"/>
      <c r="P20" s="744"/>
      <c r="Q20" s="745"/>
      <c r="R20" s="52"/>
    </row>
    <row r="21" spans="5:18" x14ac:dyDescent="0.25">
      <c r="E21" s="743"/>
      <c r="F21" s="57"/>
      <c r="G21" s="54"/>
      <c r="H21" s="55"/>
      <c r="I21" s="189">
        <f t="shared" si="10"/>
        <v>0</v>
      </c>
      <c r="J21" s="744"/>
      <c r="K21" s="744"/>
      <c r="L21" s="744"/>
      <c r="M21" s="744"/>
      <c r="N21" s="744"/>
      <c r="O21" s="744"/>
      <c r="P21" s="744"/>
      <c r="Q21" s="745"/>
      <c r="R21" s="52"/>
    </row>
    <row r="22" spans="5:18" ht="15.75" thickBot="1" x14ac:dyDescent="0.3">
      <c r="E22" s="743"/>
      <c r="F22" s="60"/>
      <c r="G22" s="61"/>
      <c r="H22" s="62"/>
      <c r="I22" s="70">
        <f t="shared" si="10"/>
        <v>0</v>
      </c>
      <c r="J22" s="746"/>
      <c r="K22" s="746"/>
      <c r="L22" s="746"/>
      <c r="M22" s="746"/>
      <c r="N22" s="746"/>
      <c r="O22" s="746"/>
      <c r="P22" s="746"/>
      <c r="Q22" s="747"/>
      <c r="R22" s="63"/>
    </row>
    <row r="23" spans="5:18" ht="14.45" thickBot="1" x14ac:dyDescent="0.3">
      <c r="E23" s="64"/>
      <c r="F23" s="736" t="s">
        <v>58</v>
      </c>
      <c r="G23" s="737"/>
      <c r="H23" s="65">
        <f>SUM(H15:H22)</f>
        <v>59050</v>
      </c>
      <c r="I23" s="65">
        <f>SUM(I15:I22)</f>
        <v>90.021144678690831</v>
      </c>
      <c r="J23" s="738"/>
      <c r="K23" s="738"/>
      <c r="L23" s="738"/>
      <c r="M23" s="738"/>
      <c r="N23" s="738"/>
      <c r="O23" s="738"/>
      <c r="P23" s="738"/>
      <c r="Q23" s="739"/>
      <c r="R23" s="66"/>
    </row>
    <row r="24" spans="5:18" ht="15.75" thickBot="1" x14ac:dyDescent="0.3">
      <c r="E24" s="67">
        <v>655.95699999999999</v>
      </c>
      <c r="F24" s="68">
        <v>98</v>
      </c>
      <c r="G24" s="422">
        <v>43943</v>
      </c>
      <c r="H24" s="426">
        <v>30000</v>
      </c>
      <c r="I24" s="70">
        <f>H24/$E$24</f>
        <v>45.734705171223112</v>
      </c>
      <c r="J24" s="763" t="s">
        <v>286</v>
      </c>
      <c r="K24" s="763"/>
      <c r="L24" s="763"/>
      <c r="M24" s="763"/>
      <c r="N24" s="763"/>
      <c r="O24" s="763"/>
      <c r="P24" s="763"/>
      <c r="Q24" s="764"/>
      <c r="R24" s="71" t="s">
        <v>30</v>
      </c>
    </row>
    <row r="25" spans="5:18" x14ac:dyDescent="0.25">
      <c r="E25" s="781"/>
      <c r="F25" s="72">
        <v>99</v>
      </c>
      <c r="G25" s="73">
        <v>43945</v>
      </c>
      <c r="H25" s="428">
        <v>30000</v>
      </c>
      <c r="I25" s="70">
        <f t="shared" ref="I25:I36" si="11">H25/$E$24</f>
        <v>45.734705171223112</v>
      </c>
      <c r="J25" s="763" t="s">
        <v>287</v>
      </c>
      <c r="K25" s="763"/>
      <c r="L25" s="763"/>
      <c r="M25" s="763"/>
      <c r="N25" s="763"/>
      <c r="O25" s="763"/>
      <c r="P25" s="763"/>
      <c r="Q25" s="764"/>
      <c r="R25" s="75" t="s">
        <v>30</v>
      </c>
    </row>
    <row r="26" spans="5:18" x14ac:dyDescent="0.25">
      <c r="E26" s="743"/>
      <c r="F26" s="72">
        <v>100</v>
      </c>
      <c r="G26" s="73">
        <v>43945</v>
      </c>
      <c r="H26" s="428">
        <v>30000</v>
      </c>
      <c r="I26" s="70">
        <f t="shared" si="11"/>
        <v>45.734705171223112</v>
      </c>
      <c r="J26" s="763" t="s">
        <v>288</v>
      </c>
      <c r="K26" s="763"/>
      <c r="L26" s="763"/>
      <c r="M26" s="763"/>
      <c r="N26" s="763"/>
      <c r="O26" s="763"/>
      <c r="P26" s="763"/>
      <c r="Q26" s="764"/>
      <c r="R26" s="75" t="s">
        <v>30</v>
      </c>
    </row>
    <row r="27" spans="5:18" x14ac:dyDescent="0.25">
      <c r="E27" s="743"/>
      <c r="F27" s="72">
        <v>92</v>
      </c>
      <c r="G27" s="73">
        <v>43947</v>
      </c>
      <c r="H27" s="428">
        <v>30000</v>
      </c>
      <c r="I27" s="70">
        <f t="shared" si="11"/>
        <v>45.734705171223112</v>
      </c>
      <c r="J27" s="763" t="s">
        <v>289</v>
      </c>
      <c r="K27" s="763"/>
      <c r="L27" s="763"/>
      <c r="M27" s="763"/>
      <c r="N27" s="763"/>
      <c r="O27" s="763"/>
      <c r="P27" s="763"/>
      <c r="Q27" s="764"/>
      <c r="R27" s="75" t="s">
        <v>30</v>
      </c>
    </row>
    <row r="28" spans="5:18" x14ac:dyDescent="0.25">
      <c r="E28" s="743"/>
      <c r="F28" s="72">
        <v>88</v>
      </c>
      <c r="G28" s="73">
        <v>43946</v>
      </c>
      <c r="H28" s="428">
        <v>30000</v>
      </c>
      <c r="I28" s="70">
        <f t="shared" si="11"/>
        <v>45.734705171223112</v>
      </c>
      <c r="J28" s="763" t="s">
        <v>290</v>
      </c>
      <c r="K28" s="763"/>
      <c r="L28" s="763"/>
      <c r="M28" s="763"/>
      <c r="N28" s="763"/>
      <c r="O28" s="763"/>
      <c r="P28" s="763"/>
      <c r="Q28" s="764"/>
      <c r="R28" s="75" t="s">
        <v>30</v>
      </c>
    </row>
    <row r="29" spans="5:18" x14ac:dyDescent="0.25">
      <c r="E29" s="743"/>
      <c r="F29" s="77">
        <v>90</v>
      </c>
      <c r="G29" s="73">
        <v>43948</v>
      </c>
      <c r="H29" s="428">
        <v>30000</v>
      </c>
      <c r="I29" s="70">
        <f t="shared" si="11"/>
        <v>45.734705171223112</v>
      </c>
      <c r="J29" s="763" t="s">
        <v>291</v>
      </c>
      <c r="K29" s="763"/>
      <c r="L29" s="763"/>
      <c r="M29" s="763"/>
      <c r="N29" s="763"/>
      <c r="O29" s="763"/>
      <c r="P29" s="763"/>
      <c r="Q29" s="764"/>
      <c r="R29" s="78" t="s">
        <v>30</v>
      </c>
    </row>
    <row r="30" spans="5:18" x14ac:dyDescent="0.25">
      <c r="E30" s="743"/>
      <c r="F30" s="77">
        <v>91</v>
      </c>
      <c r="G30" s="73">
        <v>43948</v>
      </c>
      <c r="H30" s="428">
        <v>30000</v>
      </c>
      <c r="I30" s="70">
        <f t="shared" si="11"/>
        <v>45.734705171223112</v>
      </c>
      <c r="J30" s="763" t="s">
        <v>292</v>
      </c>
      <c r="K30" s="763"/>
      <c r="L30" s="763"/>
      <c r="M30" s="763"/>
      <c r="N30" s="763"/>
      <c r="O30" s="763"/>
      <c r="P30" s="763"/>
      <c r="Q30" s="764"/>
      <c r="R30" s="78" t="s">
        <v>30</v>
      </c>
    </row>
    <row r="31" spans="5:18" x14ac:dyDescent="0.25">
      <c r="E31" s="743"/>
      <c r="F31" s="77">
        <v>93</v>
      </c>
      <c r="G31" s="73">
        <v>43950</v>
      </c>
      <c r="H31" s="428">
        <v>30000</v>
      </c>
      <c r="I31" s="70">
        <f t="shared" si="11"/>
        <v>45.734705171223112</v>
      </c>
      <c r="J31" s="763" t="s">
        <v>293</v>
      </c>
      <c r="K31" s="763"/>
      <c r="L31" s="763"/>
      <c r="M31" s="763"/>
      <c r="N31" s="763"/>
      <c r="O31" s="763"/>
      <c r="P31" s="763"/>
      <c r="Q31" s="764"/>
      <c r="R31" s="78" t="s">
        <v>30</v>
      </c>
    </row>
    <row r="32" spans="5:18" x14ac:dyDescent="0.25">
      <c r="E32" s="743"/>
      <c r="F32" s="77">
        <v>94</v>
      </c>
      <c r="G32" s="73">
        <v>43950</v>
      </c>
      <c r="H32" s="428">
        <v>30000</v>
      </c>
      <c r="I32" s="70">
        <f t="shared" si="11"/>
        <v>45.734705171223112</v>
      </c>
      <c r="J32" s="763" t="s">
        <v>294</v>
      </c>
      <c r="K32" s="763"/>
      <c r="L32" s="763"/>
      <c r="M32" s="763"/>
      <c r="N32" s="763"/>
      <c r="O32" s="763"/>
      <c r="P32" s="763"/>
      <c r="Q32" s="764"/>
      <c r="R32" s="78" t="s">
        <v>30</v>
      </c>
    </row>
    <row r="33" spans="5:18" x14ac:dyDescent="0.25">
      <c r="E33" s="743"/>
      <c r="F33" s="72">
        <v>95</v>
      </c>
      <c r="G33" s="73">
        <v>43951</v>
      </c>
      <c r="H33" s="428">
        <v>30000</v>
      </c>
      <c r="I33" s="70">
        <f t="shared" si="11"/>
        <v>45.734705171223112</v>
      </c>
      <c r="J33" s="763" t="s">
        <v>295</v>
      </c>
      <c r="K33" s="763"/>
      <c r="L33" s="763"/>
      <c r="M33" s="763"/>
      <c r="N33" s="763"/>
      <c r="O33" s="763"/>
      <c r="P33" s="763"/>
      <c r="Q33" s="764"/>
      <c r="R33" s="78" t="s">
        <v>30</v>
      </c>
    </row>
    <row r="34" spans="5:18" x14ac:dyDescent="0.25">
      <c r="E34" s="743"/>
      <c r="F34" s="72"/>
      <c r="G34" s="73"/>
      <c r="H34" s="428"/>
      <c r="I34" s="70">
        <f t="shared" si="11"/>
        <v>0</v>
      </c>
      <c r="J34" s="765"/>
      <c r="K34" s="765"/>
      <c r="L34" s="765"/>
      <c r="M34" s="765"/>
      <c r="N34" s="765"/>
      <c r="O34" s="765"/>
      <c r="P34" s="765"/>
      <c r="Q34" s="766"/>
      <c r="R34" s="75"/>
    </row>
    <row r="35" spans="5:18" x14ac:dyDescent="0.25">
      <c r="E35" s="743"/>
      <c r="F35" s="77"/>
      <c r="G35" s="73"/>
      <c r="H35" s="74"/>
      <c r="I35" s="70">
        <f t="shared" si="11"/>
        <v>0</v>
      </c>
      <c r="J35" s="765"/>
      <c r="K35" s="765"/>
      <c r="L35" s="765"/>
      <c r="M35" s="765"/>
      <c r="N35" s="765"/>
      <c r="O35" s="765"/>
      <c r="P35" s="765"/>
      <c r="Q35" s="766"/>
      <c r="R35" s="80"/>
    </row>
    <row r="36" spans="5:18" ht="15.75" thickBot="1" x14ac:dyDescent="0.3">
      <c r="E36" s="782"/>
      <c r="F36" s="81"/>
      <c r="G36" s="82"/>
      <c r="H36" s="83"/>
      <c r="I36" s="70">
        <f t="shared" si="11"/>
        <v>0</v>
      </c>
      <c r="J36" s="786"/>
      <c r="K36" s="786"/>
      <c r="L36" s="786"/>
      <c r="M36" s="786"/>
      <c r="N36" s="786"/>
      <c r="O36" s="786"/>
      <c r="P36" s="786"/>
      <c r="Q36" s="787"/>
      <c r="R36" s="80"/>
    </row>
    <row r="37" spans="5:18" ht="14.45" thickBot="1" x14ac:dyDescent="0.3">
      <c r="E37" s="64"/>
      <c r="F37" s="736" t="s">
        <v>57</v>
      </c>
      <c r="G37" s="737"/>
      <c r="H37" s="582">
        <f>SUM(H24:H36)</f>
        <v>300000</v>
      </c>
      <c r="I37" s="191">
        <f>SUM(I24:I36)</f>
        <v>457.34705171223118</v>
      </c>
      <c r="J37" s="738"/>
      <c r="K37" s="738"/>
      <c r="L37" s="738"/>
      <c r="M37" s="738"/>
      <c r="N37" s="738"/>
      <c r="O37" s="738"/>
      <c r="P37" s="738"/>
      <c r="Q37" s="739"/>
      <c r="R37" s="66"/>
    </row>
    <row r="38" spans="5:18" ht="15.75" thickBot="1" x14ac:dyDescent="0.3">
      <c r="E38" s="85">
        <v>655.95699999999999</v>
      </c>
      <c r="F38" s="68">
        <v>2</v>
      </c>
      <c r="G38" s="422">
        <v>44079</v>
      </c>
      <c r="H38" s="426">
        <v>15000</v>
      </c>
      <c r="I38" s="70">
        <f>H38/$E$38</f>
        <v>22.867352585611556</v>
      </c>
      <c r="J38" s="779" t="s">
        <v>422</v>
      </c>
      <c r="K38" s="779"/>
      <c r="L38" s="779"/>
      <c r="M38" s="779"/>
      <c r="N38" s="779"/>
      <c r="O38" s="779"/>
      <c r="P38" s="779"/>
      <c r="Q38" s="780"/>
      <c r="R38" s="71" t="s">
        <v>30</v>
      </c>
    </row>
    <row r="39" spans="5:18" x14ac:dyDescent="0.25">
      <c r="E39" s="805"/>
      <c r="F39" s="87">
        <v>3</v>
      </c>
      <c r="G39" s="50">
        <v>44082</v>
      </c>
      <c r="H39" s="213">
        <v>15000</v>
      </c>
      <c r="I39" s="70">
        <f t="shared" ref="I39:I44" si="12">H39/$E$38</f>
        <v>22.867352585611556</v>
      </c>
      <c r="J39" s="779" t="s">
        <v>424</v>
      </c>
      <c r="K39" s="779"/>
      <c r="L39" s="779"/>
      <c r="M39" s="779"/>
      <c r="N39" s="779"/>
      <c r="O39" s="779"/>
      <c r="P39" s="779"/>
      <c r="Q39" s="780"/>
      <c r="R39" s="71" t="s">
        <v>30</v>
      </c>
    </row>
    <row r="40" spans="5:18" x14ac:dyDescent="0.25">
      <c r="E40" s="806"/>
      <c r="F40" s="86">
        <v>19</v>
      </c>
      <c r="G40" s="54">
        <v>44085</v>
      </c>
      <c r="H40" s="214">
        <v>15000</v>
      </c>
      <c r="I40" s="70">
        <f t="shared" si="12"/>
        <v>22.867352585611556</v>
      </c>
      <c r="J40" s="779" t="s">
        <v>427</v>
      </c>
      <c r="K40" s="779"/>
      <c r="L40" s="779"/>
      <c r="M40" s="779"/>
      <c r="N40" s="779"/>
      <c r="O40" s="779"/>
      <c r="P40" s="779"/>
      <c r="Q40" s="780"/>
      <c r="R40" s="71" t="s">
        <v>30</v>
      </c>
    </row>
    <row r="41" spans="5:18" x14ac:dyDescent="0.25">
      <c r="E41" s="806"/>
      <c r="F41" s="86">
        <v>20</v>
      </c>
      <c r="G41" s="54">
        <v>44094</v>
      </c>
      <c r="H41" s="214">
        <v>15000</v>
      </c>
      <c r="I41" s="70">
        <f t="shared" si="12"/>
        <v>22.867352585611556</v>
      </c>
      <c r="J41" s="776" t="s">
        <v>435</v>
      </c>
      <c r="K41" s="777"/>
      <c r="L41" s="777"/>
      <c r="M41" s="777"/>
      <c r="N41" s="777"/>
      <c r="O41" s="777"/>
      <c r="P41" s="777"/>
      <c r="Q41" s="778"/>
      <c r="R41" s="71" t="s">
        <v>30</v>
      </c>
    </row>
    <row r="42" spans="5:18" x14ac:dyDescent="0.25">
      <c r="E42" s="806"/>
      <c r="F42" s="86"/>
      <c r="G42" s="54"/>
      <c r="H42" s="214"/>
      <c r="I42" s="70">
        <f t="shared" si="12"/>
        <v>0</v>
      </c>
      <c r="J42" s="814"/>
      <c r="K42" s="815"/>
      <c r="L42" s="815"/>
      <c r="M42" s="815"/>
      <c r="N42" s="815"/>
      <c r="O42" s="815"/>
      <c r="P42" s="815"/>
      <c r="Q42" s="816"/>
      <c r="R42" s="71"/>
    </row>
    <row r="43" spans="5:18" x14ac:dyDescent="0.25">
      <c r="E43" s="806"/>
      <c r="F43" s="88"/>
      <c r="G43" s="54"/>
      <c r="H43" s="214"/>
      <c r="I43" s="70">
        <f t="shared" si="12"/>
        <v>0</v>
      </c>
      <c r="J43" s="807"/>
      <c r="K43" s="807"/>
      <c r="L43" s="807"/>
      <c r="M43" s="807"/>
      <c r="N43" s="807"/>
      <c r="O43" s="807"/>
      <c r="P43" s="807"/>
      <c r="Q43" s="808"/>
      <c r="R43" s="71"/>
    </row>
    <row r="44" spans="5:18" ht="15.75" thickBot="1" x14ac:dyDescent="0.3">
      <c r="E44" s="806"/>
      <c r="F44" s="89"/>
      <c r="G44" s="54"/>
      <c r="H44" s="214"/>
      <c r="I44" s="70">
        <f t="shared" si="12"/>
        <v>0</v>
      </c>
      <c r="J44" s="765"/>
      <c r="K44" s="765"/>
      <c r="L44" s="765"/>
      <c r="M44" s="765"/>
      <c r="N44" s="765"/>
      <c r="O44" s="765"/>
      <c r="P44" s="765"/>
      <c r="Q44" s="766"/>
      <c r="R44" s="80"/>
    </row>
    <row r="45" spans="5:18" ht="14.45" thickBot="1" x14ac:dyDescent="0.3">
      <c r="E45" s="64"/>
      <c r="F45" s="736" t="s">
        <v>55</v>
      </c>
      <c r="G45" s="737"/>
      <c r="H45" s="582">
        <f>SUM(H38:H44)</f>
        <v>60000</v>
      </c>
      <c r="I45" s="191">
        <f>SUM(I38:I44)</f>
        <v>91.469410342446224</v>
      </c>
      <c r="J45" s="738"/>
      <c r="K45" s="738"/>
      <c r="L45" s="738"/>
      <c r="M45" s="738"/>
      <c r="N45" s="738"/>
      <c r="O45" s="738"/>
      <c r="P45" s="738"/>
      <c r="Q45" s="739"/>
      <c r="R45" s="66"/>
    </row>
    <row r="46" spans="5:18" ht="14.45" thickBot="1" x14ac:dyDescent="0.3">
      <c r="E46" s="85">
        <v>655.95699999999999</v>
      </c>
      <c r="F46" s="95">
        <v>28</v>
      </c>
      <c r="G46" s="50">
        <v>44106</v>
      </c>
      <c r="H46" s="213">
        <v>15000</v>
      </c>
      <c r="I46" s="70">
        <f>H46/$E$46</f>
        <v>22.867352585611556</v>
      </c>
      <c r="J46" s="809" t="s">
        <v>525</v>
      </c>
      <c r="K46" s="770"/>
      <c r="L46" s="770"/>
      <c r="M46" s="770"/>
      <c r="N46" s="770"/>
      <c r="O46" s="770"/>
      <c r="P46" s="770"/>
      <c r="Q46" s="771"/>
      <c r="R46" s="71" t="s">
        <v>30</v>
      </c>
    </row>
    <row r="47" spans="5:18" x14ac:dyDescent="0.25">
      <c r="E47" s="783"/>
      <c r="F47" s="53">
        <v>29</v>
      </c>
      <c r="G47" s="54">
        <v>44106</v>
      </c>
      <c r="H47" s="214">
        <v>15000</v>
      </c>
      <c r="I47" s="70">
        <f t="shared" ref="I47:I67" si="13">H47/$E$46</f>
        <v>22.867352585611556</v>
      </c>
      <c r="J47" s="810" t="s">
        <v>526</v>
      </c>
      <c r="K47" s="810"/>
      <c r="L47" s="810"/>
      <c r="M47" s="810"/>
      <c r="N47" s="810"/>
      <c r="O47" s="810"/>
      <c r="P47" s="810"/>
      <c r="Q47" s="811"/>
      <c r="R47" s="71" t="s">
        <v>30</v>
      </c>
    </row>
    <row r="48" spans="5:18" x14ac:dyDescent="0.25">
      <c r="E48" s="784"/>
      <c r="F48" s="53">
        <v>35</v>
      </c>
      <c r="G48" s="54">
        <v>44111</v>
      </c>
      <c r="H48" s="214">
        <v>15000</v>
      </c>
      <c r="I48" s="70">
        <f t="shared" si="13"/>
        <v>22.867352585611556</v>
      </c>
      <c r="J48" s="744" t="s">
        <v>531</v>
      </c>
      <c r="K48" s="744"/>
      <c r="L48" s="744"/>
      <c r="M48" s="744"/>
      <c r="N48" s="744"/>
      <c r="O48" s="744"/>
      <c r="P48" s="744"/>
      <c r="Q48" s="745"/>
      <c r="R48" s="71" t="s">
        <v>30</v>
      </c>
    </row>
    <row r="49" spans="5:18" x14ac:dyDescent="0.25">
      <c r="E49" s="784"/>
      <c r="F49" s="53">
        <v>37</v>
      </c>
      <c r="G49" s="54">
        <v>44113</v>
      </c>
      <c r="H49" s="214">
        <v>15000</v>
      </c>
      <c r="I49" s="70">
        <f t="shared" si="13"/>
        <v>22.867352585611556</v>
      </c>
      <c r="J49" s="744" t="s">
        <v>537</v>
      </c>
      <c r="K49" s="744"/>
      <c r="L49" s="744"/>
      <c r="M49" s="744"/>
      <c r="N49" s="744"/>
      <c r="O49" s="744"/>
      <c r="P49" s="744"/>
      <c r="Q49" s="745"/>
      <c r="R49" s="71" t="s">
        <v>30</v>
      </c>
    </row>
    <row r="50" spans="5:18" x14ac:dyDescent="0.25">
      <c r="E50" s="784"/>
      <c r="F50" s="53">
        <v>41</v>
      </c>
      <c r="G50" s="54">
        <v>44113</v>
      </c>
      <c r="H50" s="214">
        <v>15000</v>
      </c>
      <c r="I50" s="70">
        <f t="shared" si="13"/>
        <v>22.867352585611556</v>
      </c>
      <c r="J50" s="744" t="s">
        <v>538</v>
      </c>
      <c r="K50" s="744"/>
      <c r="L50" s="744"/>
      <c r="M50" s="744"/>
      <c r="N50" s="744"/>
      <c r="O50" s="744"/>
      <c r="P50" s="744"/>
      <c r="Q50" s="745"/>
      <c r="R50" s="71" t="s">
        <v>30</v>
      </c>
    </row>
    <row r="51" spans="5:18" x14ac:dyDescent="0.25">
      <c r="E51" s="784"/>
      <c r="F51" s="53">
        <v>38</v>
      </c>
      <c r="G51" s="54">
        <v>44114</v>
      </c>
      <c r="H51" s="214">
        <v>15000</v>
      </c>
      <c r="I51" s="70">
        <f t="shared" si="13"/>
        <v>22.867352585611556</v>
      </c>
      <c r="J51" s="744" t="s">
        <v>539</v>
      </c>
      <c r="K51" s="744"/>
      <c r="L51" s="744"/>
      <c r="M51" s="744"/>
      <c r="N51" s="744"/>
      <c r="O51" s="744"/>
      <c r="P51" s="744"/>
      <c r="Q51" s="745"/>
      <c r="R51" s="71" t="s">
        <v>30</v>
      </c>
    </row>
    <row r="52" spans="5:18" x14ac:dyDescent="0.25">
      <c r="E52" s="784"/>
      <c r="F52" s="53">
        <v>39</v>
      </c>
      <c r="G52" s="54">
        <v>44114</v>
      </c>
      <c r="H52" s="214">
        <v>15000</v>
      </c>
      <c r="I52" s="70">
        <f t="shared" ref="I52:I61" si="14">H52/$E$46</f>
        <v>22.867352585611556</v>
      </c>
      <c r="J52" s="744" t="s">
        <v>540</v>
      </c>
      <c r="K52" s="744"/>
      <c r="L52" s="744"/>
      <c r="M52" s="744"/>
      <c r="N52" s="744"/>
      <c r="O52" s="744"/>
      <c r="P52" s="744"/>
      <c r="Q52" s="745"/>
      <c r="R52" s="71" t="s">
        <v>30</v>
      </c>
    </row>
    <row r="53" spans="5:18" x14ac:dyDescent="0.25">
      <c r="E53" s="784"/>
      <c r="F53" s="53">
        <v>45</v>
      </c>
      <c r="G53" s="54">
        <v>44116</v>
      </c>
      <c r="H53" s="214">
        <v>4500</v>
      </c>
      <c r="I53" s="70">
        <f t="shared" si="14"/>
        <v>6.8602057756834673</v>
      </c>
      <c r="J53" s="744" t="s">
        <v>542</v>
      </c>
      <c r="K53" s="744"/>
      <c r="L53" s="744"/>
      <c r="M53" s="744"/>
      <c r="N53" s="744"/>
      <c r="O53" s="744"/>
      <c r="P53" s="744"/>
      <c r="Q53" s="745"/>
      <c r="R53" s="71" t="s">
        <v>30</v>
      </c>
    </row>
    <row r="54" spans="5:18" x14ac:dyDescent="0.25">
      <c r="E54" s="784"/>
      <c r="F54" s="53">
        <v>40</v>
      </c>
      <c r="G54" s="54">
        <v>44116</v>
      </c>
      <c r="H54" s="214">
        <v>15000</v>
      </c>
      <c r="I54" s="70">
        <f t="shared" si="14"/>
        <v>22.867352585611556</v>
      </c>
      <c r="J54" s="744" t="s">
        <v>543</v>
      </c>
      <c r="K54" s="744"/>
      <c r="L54" s="744"/>
      <c r="M54" s="744"/>
      <c r="N54" s="744"/>
      <c r="O54" s="744"/>
      <c r="P54" s="744"/>
      <c r="Q54" s="745"/>
      <c r="R54" s="71" t="s">
        <v>30</v>
      </c>
    </row>
    <row r="55" spans="5:18" x14ac:dyDescent="0.25">
      <c r="E55" s="784"/>
      <c r="F55" s="53">
        <v>42</v>
      </c>
      <c r="G55" s="54">
        <v>44117</v>
      </c>
      <c r="H55" s="214">
        <v>15000</v>
      </c>
      <c r="I55" s="70">
        <f t="shared" si="14"/>
        <v>22.867352585611556</v>
      </c>
      <c r="J55" s="744" t="s">
        <v>544</v>
      </c>
      <c r="K55" s="744"/>
      <c r="L55" s="744"/>
      <c r="M55" s="744"/>
      <c r="N55" s="744"/>
      <c r="O55" s="744"/>
      <c r="P55" s="744"/>
      <c r="Q55" s="745"/>
      <c r="R55" s="71" t="s">
        <v>30</v>
      </c>
    </row>
    <row r="56" spans="5:18" x14ac:dyDescent="0.25">
      <c r="E56" s="784"/>
      <c r="F56" s="53">
        <v>43</v>
      </c>
      <c r="G56" s="54">
        <v>44117</v>
      </c>
      <c r="H56" s="214">
        <v>15000</v>
      </c>
      <c r="I56" s="70">
        <f t="shared" si="14"/>
        <v>22.867352585611556</v>
      </c>
      <c r="J56" s="744" t="s">
        <v>545</v>
      </c>
      <c r="K56" s="744"/>
      <c r="L56" s="744"/>
      <c r="M56" s="744"/>
      <c r="N56" s="744"/>
      <c r="O56" s="744"/>
      <c r="P56" s="744"/>
      <c r="Q56" s="745"/>
      <c r="R56" s="71" t="s">
        <v>30</v>
      </c>
    </row>
    <row r="57" spans="5:18" x14ac:dyDescent="0.25">
      <c r="E57" s="784"/>
      <c r="F57" s="53">
        <v>49</v>
      </c>
      <c r="G57" s="54">
        <v>44117</v>
      </c>
      <c r="H57" s="214">
        <v>15000</v>
      </c>
      <c r="I57" s="70">
        <f t="shared" si="14"/>
        <v>22.867352585611556</v>
      </c>
      <c r="J57" s="744" t="s">
        <v>546</v>
      </c>
      <c r="K57" s="744"/>
      <c r="L57" s="744"/>
      <c r="M57" s="744"/>
      <c r="N57" s="744"/>
      <c r="O57" s="744"/>
      <c r="P57" s="744"/>
      <c r="Q57" s="745"/>
      <c r="R57" s="71" t="s">
        <v>30</v>
      </c>
    </row>
    <row r="58" spans="5:18" x14ac:dyDescent="0.25">
      <c r="E58" s="784"/>
      <c r="F58" s="53">
        <v>48</v>
      </c>
      <c r="G58" s="54">
        <v>44117</v>
      </c>
      <c r="H58" s="214">
        <v>15000</v>
      </c>
      <c r="I58" s="70">
        <f t="shared" si="14"/>
        <v>22.867352585611556</v>
      </c>
      <c r="J58" s="744" t="s">
        <v>547</v>
      </c>
      <c r="K58" s="744"/>
      <c r="L58" s="744"/>
      <c r="M58" s="744"/>
      <c r="N58" s="744"/>
      <c r="O58" s="744"/>
      <c r="P58" s="744"/>
      <c r="Q58" s="745"/>
      <c r="R58" s="71" t="s">
        <v>30</v>
      </c>
    </row>
    <row r="59" spans="5:18" x14ac:dyDescent="0.25">
      <c r="E59" s="784"/>
      <c r="F59" s="53">
        <v>46</v>
      </c>
      <c r="G59" s="54">
        <v>44117</v>
      </c>
      <c r="H59" s="214">
        <v>15000</v>
      </c>
      <c r="I59" s="70">
        <f t="shared" si="14"/>
        <v>22.867352585611556</v>
      </c>
      <c r="J59" s="744" t="s">
        <v>548</v>
      </c>
      <c r="K59" s="744"/>
      <c r="L59" s="744"/>
      <c r="M59" s="744"/>
      <c r="N59" s="744"/>
      <c r="O59" s="744"/>
      <c r="P59" s="744"/>
      <c r="Q59" s="745"/>
      <c r="R59" s="71" t="s">
        <v>30</v>
      </c>
    </row>
    <row r="60" spans="5:18" x14ac:dyDescent="0.25">
      <c r="E60" s="784"/>
      <c r="F60" s="53">
        <v>47</v>
      </c>
      <c r="G60" s="54">
        <v>44117</v>
      </c>
      <c r="H60" s="214">
        <v>4500</v>
      </c>
      <c r="I60" s="70">
        <f t="shared" si="14"/>
        <v>6.8602057756834673</v>
      </c>
      <c r="J60" s="744" t="s">
        <v>549</v>
      </c>
      <c r="K60" s="744"/>
      <c r="L60" s="744"/>
      <c r="M60" s="744"/>
      <c r="N60" s="744"/>
      <c r="O60" s="744"/>
      <c r="P60" s="744"/>
      <c r="Q60" s="745"/>
      <c r="R60" s="71" t="s">
        <v>30</v>
      </c>
    </row>
    <row r="61" spans="5:18" x14ac:dyDescent="0.25">
      <c r="E61" s="784"/>
      <c r="F61" s="53">
        <v>44</v>
      </c>
      <c r="G61" s="54">
        <v>44119</v>
      </c>
      <c r="H61" s="214">
        <v>15000</v>
      </c>
      <c r="I61" s="70">
        <f t="shared" si="14"/>
        <v>22.867352585611556</v>
      </c>
      <c r="J61" s="744" t="s">
        <v>531</v>
      </c>
      <c r="K61" s="744"/>
      <c r="L61" s="744"/>
      <c r="M61" s="744"/>
      <c r="N61" s="744"/>
      <c r="O61" s="744"/>
      <c r="P61" s="744"/>
      <c r="Q61" s="745"/>
      <c r="R61" s="71" t="s">
        <v>30</v>
      </c>
    </row>
    <row r="62" spans="5:18" x14ac:dyDescent="0.25">
      <c r="E62" s="784"/>
      <c r="F62" s="53">
        <v>253</v>
      </c>
      <c r="G62" s="54">
        <v>44119</v>
      </c>
      <c r="H62" s="214">
        <v>15000</v>
      </c>
      <c r="I62" s="70">
        <f t="shared" ref="I62:I65" si="15">H62/$E$46</f>
        <v>22.867352585611556</v>
      </c>
      <c r="J62" s="744" t="s">
        <v>550</v>
      </c>
      <c r="K62" s="744"/>
      <c r="L62" s="744"/>
      <c r="M62" s="744"/>
      <c r="N62" s="744"/>
      <c r="O62" s="744"/>
      <c r="P62" s="744"/>
      <c r="Q62" s="745"/>
      <c r="R62" s="71" t="s">
        <v>30</v>
      </c>
    </row>
    <row r="63" spans="5:18" x14ac:dyDescent="0.25">
      <c r="E63" s="784"/>
      <c r="F63" s="53">
        <v>457</v>
      </c>
      <c r="G63" s="54">
        <v>44120</v>
      </c>
      <c r="H63" s="214">
        <v>15000</v>
      </c>
      <c r="I63" s="70">
        <f t="shared" si="15"/>
        <v>22.867352585611556</v>
      </c>
      <c r="J63" s="744" t="s">
        <v>551</v>
      </c>
      <c r="K63" s="744"/>
      <c r="L63" s="744"/>
      <c r="M63" s="744"/>
      <c r="N63" s="744"/>
      <c r="O63" s="744"/>
      <c r="P63" s="744"/>
      <c r="Q63" s="745"/>
      <c r="R63" s="71" t="s">
        <v>30</v>
      </c>
    </row>
    <row r="64" spans="5:18" x14ac:dyDescent="0.25">
      <c r="E64" s="784"/>
      <c r="F64" s="53">
        <v>452</v>
      </c>
      <c r="G64" s="54">
        <v>44120</v>
      </c>
      <c r="H64" s="214">
        <v>15000</v>
      </c>
      <c r="I64" s="70">
        <f t="shared" si="15"/>
        <v>22.867352585611556</v>
      </c>
      <c r="J64" s="744" t="s">
        <v>552</v>
      </c>
      <c r="K64" s="744"/>
      <c r="L64" s="744"/>
      <c r="M64" s="744"/>
      <c r="N64" s="744"/>
      <c r="O64" s="744"/>
      <c r="P64" s="744"/>
      <c r="Q64" s="745"/>
      <c r="R64" s="71" t="s">
        <v>30</v>
      </c>
    </row>
    <row r="65" spans="5:18" x14ac:dyDescent="0.25">
      <c r="E65" s="784"/>
      <c r="F65" s="53">
        <v>455</v>
      </c>
      <c r="G65" s="54">
        <v>44120</v>
      </c>
      <c r="H65" s="214">
        <v>15000</v>
      </c>
      <c r="I65" s="70">
        <f t="shared" si="15"/>
        <v>22.867352585611556</v>
      </c>
      <c r="J65" s="744" t="s">
        <v>553</v>
      </c>
      <c r="K65" s="744"/>
      <c r="L65" s="744"/>
      <c r="M65" s="744"/>
      <c r="N65" s="744"/>
      <c r="O65" s="744"/>
      <c r="P65" s="744"/>
      <c r="Q65" s="745"/>
      <c r="R65" s="71" t="s">
        <v>30</v>
      </c>
    </row>
    <row r="66" spans="5:18" x14ac:dyDescent="0.25">
      <c r="E66" s="784"/>
      <c r="F66" s="98">
        <v>50</v>
      </c>
      <c r="G66" s="457">
        <v>44121</v>
      </c>
      <c r="H66" s="215">
        <v>15000</v>
      </c>
      <c r="I66" s="629">
        <f t="shared" si="13"/>
        <v>22.867352585611556</v>
      </c>
      <c r="J66" s="744" t="s">
        <v>554</v>
      </c>
      <c r="K66" s="744"/>
      <c r="L66" s="744"/>
      <c r="M66" s="744"/>
      <c r="N66" s="744"/>
      <c r="O66" s="744"/>
      <c r="P66" s="744"/>
      <c r="Q66" s="745"/>
      <c r="R66" s="71" t="s">
        <v>30</v>
      </c>
    </row>
    <row r="67" spans="5:18" ht="13.9" x14ac:dyDescent="0.25">
      <c r="E67" s="626"/>
      <c r="F67" s="53">
        <v>51</v>
      </c>
      <c r="G67" s="54">
        <v>44121</v>
      </c>
      <c r="H67" s="214">
        <v>4500</v>
      </c>
      <c r="I67" s="629">
        <f t="shared" si="13"/>
        <v>6.8602057756834673</v>
      </c>
      <c r="J67" s="744" t="s">
        <v>555</v>
      </c>
      <c r="K67" s="744"/>
      <c r="L67" s="744"/>
      <c r="M67" s="744"/>
      <c r="N67" s="744"/>
      <c r="O67" s="744"/>
      <c r="P67" s="744"/>
      <c r="Q67" s="745"/>
      <c r="R67" s="71" t="s">
        <v>30</v>
      </c>
    </row>
    <row r="68" spans="5:18" x14ac:dyDescent="0.25">
      <c r="E68" s="626"/>
      <c r="F68" s="98">
        <v>254</v>
      </c>
      <c r="G68" s="457">
        <v>44124</v>
      </c>
      <c r="H68" s="215">
        <v>15000</v>
      </c>
      <c r="I68" s="629">
        <f t="shared" ref="I68:I74" si="16">H68/$E$46</f>
        <v>22.867352585611556</v>
      </c>
      <c r="J68" s="744" t="s">
        <v>556</v>
      </c>
      <c r="K68" s="744"/>
      <c r="L68" s="744"/>
      <c r="M68" s="744"/>
      <c r="N68" s="744"/>
      <c r="O68" s="744"/>
      <c r="P68" s="744"/>
      <c r="Q68" s="745"/>
      <c r="R68" s="71" t="s">
        <v>30</v>
      </c>
    </row>
    <row r="69" spans="5:18" x14ac:dyDescent="0.25">
      <c r="E69" s="626"/>
      <c r="F69" s="53">
        <v>255</v>
      </c>
      <c r="G69" s="54">
        <v>44124</v>
      </c>
      <c r="H69" s="214">
        <v>4500</v>
      </c>
      <c r="I69" s="629">
        <f t="shared" si="16"/>
        <v>6.8602057756834673</v>
      </c>
      <c r="J69" s="744" t="s">
        <v>557</v>
      </c>
      <c r="K69" s="744"/>
      <c r="L69" s="744"/>
      <c r="M69" s="744"/>
      <c r="N69" s="744"/>
      <c r="O69" s="744"/>
      <c r="P69" s="744"/>
      <c r="Q69" s="745"/>
      <c r="R69" s="71" t="s">
        <v>30</v>
      </c>
    </row>
    <row r="70" spans="5:18" x14ac:dyDescent="0.25">
      <c r="E70" s="626"/>
      <c r="F70" s="98">
        <v>256</v>
      </c>
      <c r="G70" s="457">
        <v>44125</v>
      </c>
      <c r="H70" s="215">
        <v>15000</v>
      </c>
      <c r="I70" s="629">
        <f t="shared" si="16"/>
        <v>22.867352585611556</v>
      </c>
      <c r="J70" s="744" t="s">
        <v>559</v>
      </c>
      <c r="K70" s="744"/>
      <c r="L70" s="744"/>
      <c r="M70" s="744"/>
      <c r="N70" s="744"/>
      <c r="O70" s="744"/>
      <c r="P70" s="744"/>
      <c r="Q70" s="745"/>
      <c r="R70" s="71" t="s">
        <v>30</v>
      </c>
    </row>
    <row r="71" spans="5:18" ht="13.9" x14ac:dyDescent="0.25">
      <c r="E71" s="626"/>
      <c r="F71" s="53">
        <v>263</v>
      </c>
      <c r="G71" s="54">
        <v>44125</v>
      </c>
      <c r="H71" s="214">
        <v>4500</v>
      </c>
      <c r="I71" s="629">
        <f t="shared" si="16"/>
        <v>6.8602057756834673</v>
      </c>
      <c r="J71" s="744" t="s">
        <v>560</v>
      </c>
      <c r="K71" s="744"/>
      <c r="L71" s="744"/>
      <c r="M71" s="744"/>
      <c r="N71" s="744"/>
      <c r="O71" s="744"/>
      <c r="P71" s="744"/>
      <c r="Q71" s="745"/>
      <c r="R71" s="71" t="s">
        <v>30</v>
      </c>
    </row>
    <row r="72" spans="5:18" ht="13.9" x14ac:dyDescent="0.25">
      <c r="E72" s="626"/>
      <c r="F72" s="53">
        <v>258</v>
      </c>
      <c r="G72" s="54">
        <v>44127</v>
      </c>
      <c r="H72" s="214">
        <v>15000</v>
      </c>
      <c r="I72" s="70">
        <f t="shared" si="16"/>
        <v>22.867352585611556</v>
      </c>
      <c r="J72" s="744" t="s">
        <v>562</v>
      </c>
      <c r="K72" s="744"/>
      <c r="L72" s="744"/>
      <c r="M72" s="744"/>
      <c r="N72" s="744"/>
      <c r="O72" s="744"/>
      <c r="P72" s="744"/>
      <c r="Q72" s="745"/>
      <c r="R72" s="71" t="s">
        <v>30</v>
      </c>
    </row>
    <row r="73" spans="5:18" ht="13.9" x14ac:dyDescent="0.25">
      <c r="E73" s="626"/>
      <c r="F73" s="98">
        <v>259</v>
      </c>
      <c r="G73" s="457">
        <v>44127</v>
      </c>
      <c r="H73" s="215">
        <v>4500</v>
      </c>
      <c r="I73" s="629">
        <f t="shared" si="16"/>
        <v>6.8602057756834673</v>
      </c>
      <c r="J73" s="744" t="s">
        <v>563</v>
      </c>
      <c r="K73" s="744"/>
      <c r="L73" s="744"/>
      <c r="M73" s="744"/>
      <c r="N73" s="744"/>
      <c r="O73" s="744"/>
      <c r="P73" s="744"/>
      <c r="Q73" s="745"/>
      <c r="R73" s="71" t="s">
        <v>30</v>
      </c>
    </row>
    <row r="74" spans="5:18" ht="13.9" x14ac:dyDescent="0.25">
      <c r="E74" s="626"/>
      <c r="F74" s="53">
        <v>302</v>
      </c>
      <c r="G74" s="54">
        <v>44130</v>
      </c>
      <c r="H74" s="214">
        <v>15000</v>
      </c>
      <c r="I74" s="629">
        <f t="shared" si="16"/>
        <v>22.867352585611556</v>
      </c>
      <c r="J74" s="744" t="s">
        <v>566</v>
      </c>
      <c r="K74" s="744"/>
      <c r="L74" s="744"/>
      <c r="M74" s="744"/>
      <c r="N74" s="744"/>
      <c r="O74" s="744"/>
      <c r="P74" s="744"/>
      <c r="Q74" s="745"/>
      <c r="R74" s="71" t="s">
        <v>30</v>
      </c>
    </row>
    <row r="75" spans="5:18" ht="13.9" x14ac:dyDescent="0.25">
      <c r="E75" s="626"/>
      <c r="F75" s="98">
        <v>301</v>
      </c>
      <c r="G75" s="457">
        <v>44130</v>
      </c>
      <c r="H75" s="215">
        <v>15000</v>
      </c>
      <c r="I75" s="629">
        <f t="shared" ref="I75:I77" si="17">H75/$E$46</f>
        <v>22.867352585611556</v>
      </c>
      <c r="J75" s="744" t="s">
        <v>567</v>
      </c>
      <c r="K75" s="744"/>
      <c r="L75" s="744"/>
      <c r="M75" s="744"/>
      <c r="N75" s="744"/>
      <c r="O75" s="744"/>
      <c r="P75" s="744"/>
      <c r="Q75" s="745"/>
      <c r="R75" s="71" t="s">
        <v>30</v>
      </c>
    </row>
    <row r="76" spans="5:18" ht="13.9" x14ac:dyDescent="0.25">
      <c r="E76" s="626"/>
      <c r="F76" s="53"/>
      <c r="G76" s="54"/>
      <c r="H76" s="214"/>
      <c r="I76" s="629">
        <f t="shared" si="17"/>
        <v>0</v>
      </c>
      <c r="J76" s="744"/>
      <c r="K76" s="744"/>
      <c r="L76" s="744"/>
      <c r="M76" s="744"/>
      <c r="N76" s="744"/>
      <c r="O76" s="744"/>
      <c r="P76" s="744"/>
      <c r="Q76" s="745"/>
      <c r="R76" s="71"/>
    </row>
    <row r="77" spans="5:18" ht="14.45" thickBot="1" x14ac:dyDescent="0.3">
      <c r="E77" s="626"/>
      <c r="F77" s="98"/>
      <c r="G77" s="457"/>
      <c r="H77" s="215"/>
      <c r="I77" s="629">
        <f t="shared" si="17"/>
        <v>0</v>
      </c>
      <c r="J77" s="744"/>
      <c r="K77" s="744"/>
      <c r="L77" s="744"/>
      <c r="M77" s="744"/>
      <c r="N77" s="744"/>
      <c r="O77" s="744"/>
      <c r="P77" s="744"/>
      <c r="Q77" s="745"/>
      <c r="R77" s="71"/>
    </row>
    <row r="78" spans="5:18" ht="14.45" thickBot="1" x14ac:dyDescent="0.3">
      <c r="E78" s="64"/>
      <c r="F78" s="736" t="s">
        <v>56</v>
      </c>
      <c r="G78" s="737"/>
      <c r="H78" s="84">
        <f>SUM(H46:H75)</f>
        <v>387000</v>
      </c>
      <c r="I78" s="191">
        <f>SUM(I46:I77)</f>
        <v>589.97769670877835</v>
      </c>
      <c r="J78" s="813"/>
      <c r="K78" s="738"/>
      <c r="L78" s="738"/>
      <c r="M78" s="738"/>
      <c r="N78" s="738"/>
      <c r="O78" s="738"/>
      <c r="P78" s="738"/>
      <c r="Q78" s="739"/>
      <c r="R78" s="66"/>
    </row>
    <row r="79" spans="5:18" ht="14.45" thickBot="1" x14ac:dyDescent="0.3">
      <c r="E79" s="100"/>
      <c r="F79" s="101" t="s">
        <v>53</v>
      </c>
      <c r="G79" s="102"/>
      <c r="H79" s="103">
        <f>SUM(H78,H45,H37,H23)</f>
        <v>806050</v>
      </c>
      <c r="I79" s="103">
        <f>SUM(I78,I45,I37,I23)</f>
        <v>1228.8153034421466</v>
      </c>
      <c r="J79" s="817"/>
      <c r="K79" s="818"/>
      <c r="L79" s="818"/>
      <c r="M79" s="818"/>
      <c r="N79" s="818"/>
      <c r="O79" s="818"/>
      <c r="P79" s="818"/>
      <c r="Q79" s="819"/>
      <c r="R79" s="647"/>
    </row>
  </sheetData>
  <mergeCells count="86">
    <mergeCell ref="J76:Q76"/>
    <mergeCell ref="J77:Q77"/>
    <mergeCell ref="J71:Q71"/>
    <mergeCell ref="J72:Q72"/>
    <mergeCell ref="J73:Q73"/>
    <mergeCell ref="J74:Q74"/>
    <mergeCell ref="J75:Q75"/>
    <mergeCell ref="J70:Q70"/>
    <mergeCell ref="J62:Q62"/>
    <mergeCell ref="J63:Q63"/>
    <mergeCell ref="J64:Q64"/>
    <mergeCell ref="J65:Q65"/>
    <mergeCell ref="J67:Q67"/>
    <mergeCell ref="J59:Q59"/>
    <mergeCell ref="J60:Q60"/>
    <mergeCell ref="J61:Q61"/>
    <mergeCell ref="J68:Q68"/>
    <mergeCell ref="J69:Q69"/>
    <mergeCell ref="J79:Q79"/>
    <mergeCell ref="F45:G45"/>
    <mergeCell ref="J45:Q45"/>
    <mergeCell ref="J46:Q46"/>
    <mergeCell ref="E47:E66"/>
    <mergeCell ref="J47:Q47"/>
    <mergeCell ref="J48:Q48"/>
    <mergeCell ref="J49:Q49"/>
    <mergeCell ref="J50:Q50"/>
    <mergeCell ref="J51:Q51"/>
    <mergeCell ref="J66:Q66"/>
    <mergeCell ref="J52:Q52"/>
    <mergeCell ref="J53:Q53"/>
    <mergeCell ref="J54:Q54"/>
    <mergeCell ref="J55:Q55"/>
    <mergeCell ref="J56:Q56"/>
    <mergeCell ref="E25:E36"/>
    <mergeCell ref="J25:Q25"/>
    <mergeCell ref="F78:G78"/>
    <mergeCell ref="J78:Q78"/>
    <mergeCell ref="E39:E44"/>
    <mergeCell ref="J39:Q39"/>
    <mergeCell ref="J40:Q40"/>
    <mergeCell ref="J41:Q41"/>
    <mergeCell ref="J42:Q42"/>
    <mergeCell ref="J43:Q43"/>
    <mergeCell ref="J44:Q44"/>
    <mergeCell ref="J35:Q35"/>
    <mergeCell ref="J36:Q36"/>
    <mergeCell ref="F37:G37"/>
    <mergeCell ref="J57:Q57"/>
    <mergeCell ref="J58:Q58"/>
    <mergeCell ref="J37:Q37"/>
    <mergeCell ref="J38:Q38"/>
    <mergeCell ref="F23:G23"/>
    <mergeCell ref="J23:Q23"/>
    <mergeCell ref="J24:Q24"/>
    <mergeCell ref="J33:Q33"/>
    <mergeCell ref="J34:Q34"/>
    <mergeCell ref="J26:Q26"/>
    <mergeCell ref="J27:Q27"/>
    <mergeCell ref="J28:Q28"/>
    <mergeCell ref="J29:Q29"/>
    <mergeCell ref="J30:Q30"/>
    <mergeCell ref="J31:Q31"/>
    <mergeCell ref="J32:Q32"/>
    <mergeCell ref="J14:Q14"/>
    <mergeCell ref="J15:Q15"/>
    <mergeCell ref="E16:E22"/>
    <mergeCell ref="J16:Q16"/>
    <mergeCell ref="J17:Q17"/>
    <mergeCell ref="J18:Q18"/>
    <mergeCell ref="J19:Q19"/>
    <mergeCell ref="J20:Q20"/>
    <mergeCell ref="J21:Q21"/>
    <mergeCell ref="J22:Q22"/>
    <mergeCell ref="E13:R13"/>
    <mergeCell ref="B3:B4"/>
    <mergeCell ref="C3:C4"/>
    <mergeCell ref="D3:D4"/>
    <mergeCell ref="E3:G3"/>
    <mergeCell ref="H3:J3"/>
    <mergeCell ref="K3:M3"/>
    <mergeCell ref="N3:P3"/>
    <mergeCell ref="Q3:S3"/>
    <mergeCell ref="B5:D5"/>
    <mergeCell ref="E5:S5"/>
    <mergeCell ref="B10:D10"/>
  </mergeCells>
  <dataValidations count="1">
    <dataValidation type="list" allowBlank="1" showInputMessage="1" showErrorMessage="1" sqref="R15:R79" xr:uid="{00000000-0002-0000-0300-000000000000}">
      <formula1>$B$6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87"/>
  <sheetViews>
    <sheetView zoomScale="80" zoomScaleNormal="80" workbookViewId="0">
      <selection activeCell="J68" sqref="J68:Q68"/>
    </sheetView>
  </sheetViews>
  <sheetFormatPr baseColWidth="10" defaultColWidth="11.42578125" defaultRowHeight="15" x14ac:dyDescent="0.25"/>
  <cols>
    <col min="1" max="2" width="11.42578125" style="2"/>
    <col min="3" max="3" width="32.85546875" style="2" customWidth="1"/>
    <col min="4" max="6" width="11.42578125" style="2"/>
    <col min="7" max="7" width="14.85546875" style="2" customWidth="1"/>
    <col min="8" max="8" width="15.42578125" style="2" customWidth="1"/>
    <col min="9" max="9" width="18.140625" style="2" customWidth="1"/>
    <col min="10" max="10" width="15" style="2" customWidth="1"/>
    <col min="11" max="11" width="12.28515625" style="2" customWidth="1"/>
    <col min="12" max="13" width="14" style="2" customWidth="1"/>
    <col min="14" max="14" width="13" style="2" customWidth="1"/>
    <col min="15" max="15" width="11.42578125" style="2"/>
    <col min="16" max="17" width="14" style="2" customWidth="1"/>
    <col min="18" max="18" width="15.42578125" style="2" customWidth="1"/>
    <col min="19" max="19" width="14.28515625" style="2" customWidth="1"/>
    <col min="20" max="16384" width="11.42578125" style="2"/>
  </cols>
  <sheetData>
    <row r="2" spans="2:19" ht="14.45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 x14ac:dyDescent="0.3">
      <c r="B5" s="699" t="s">
        <v>23</v>
      </c>
      <c r="C5" s="700"/>
      <c r="D5" s="701"/>
      <c r="E5" s="820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2"/>
    </row>
    <row r="6" spans="2:19" ht="123.75" customHeight="1" x14ac:dyDescent="0.25">
      <c r="B6" s="11" t="s">
        <v>31</v>
      </c>
      <c r="C6" s="166" t="s">
        <v>91</v>
      </c>
      <c r="D6" s="105"/>
      <c r="E6" s="28"/>
      <c r="F6" s="29"/>
      <c r="G6" s="24">
        <f t="shared" ref="G6:G12" si="0">E6-F6</f>
        <v>0</v>
      </c>
      <c r="H6" s="28">
        <v>457.35</v>
      </c>
      <c r="I6" s="29"/>
      <c r="J6" s="24">
        <f t="shared" ref="J6:J11" si="1">H6-I6</f>
        <v>457.35</v>
      </c>
      <c r="K6" s="28"/>
      <c r="L6" s="29">
        <f>I38+I39+I40+I41+I42</f>
        <v>686.02057756834665</v>
      </c>
      <c r="M6" s="24">
        <f t="shared" ref="M6:M12" si="2">K6-L6</f>
        <v>-686.02057756834665</v>
      </c>
      <c r="N6" s="28"/>
      <c r="O6" s="29"/>
      <c r="P6" s="25">
        <f t="shared" ref="P6:P12" si="3">N6-O6</f>
        <v>0</v>
      </c>
      <c r="Q6" s="22">
        <f t="shared" ref="Q6" si="4">N6+K6+H6+E6</f>
        <v>457.35</v>
      </c>
      <c r="R6" s="23">
        <f>O6+L6+I6+F6</f>
        <v>686.02057756834665</v>
      </c>
      <c r="S6" s="26">
        <f t="shared" ref="S6:S14" si="5">Q6-R6</f>
        <v>-228.67057756834663</v>
      </c>
    </row>
    <row r="7" spans="2:19" ht="69.75" customHeight="1" x14ac:dyDescent="0.25">
      <c r="B7" s="20" t="s">
        <v>32</v>
      </c>
      <c r="C7" s="167" t="s">
        <v>92</v>
      </c>
      <c r="D7" s="30"/>
      <c r="E7" s="22"/>
      <c r="F7" s="23"/>
      <c r="G7" s="24">
        <f t="shared" si="0"/>
        <v>0</v>
      </c>
      <c r="H7" s="28"/>
      <c r="I7" s="23"/>
      <c r="J7" s="24">
        <f t="shared" si="1"/>
        <v>0</v>
      </c>
      <c r="K7" s="22"/>
      <c r="L7" s="23"/>
      <c r="M7" s="24">
        <f t="shared" si="2"/>
        <v>0</v>
      </c>
      <c r="N7" s="28">
        <v>457.35</v>
      </c>
      <c r="O7" s="23"/>
      <c r="P7" s="25">
        <f t="shared" si="3"/>
        <v>457.35</v>
      </c>
      <c r="Q7" s="22">
        <f t="shared" ref="Q7:Q13" si="6">N7+K7+H7+E7</f>
        <v>457.35</v>
      </c>
      <c r="R7" s="23">
        <f>O7+L7+I7+F7</f>
        <v>0</v>
      </c>
      <c r="S7" s="26">
        <f t="shared" ref="S7:S13" si="7">Q7-R7</f>
        <v>457.35</v>
      </c>
    </row>
    <row r="8" spans="2:19" ht="47.25" customHeight="1" x14ac:dyDescent="0.25">
      <c r="B8" s="662" t="s">
        <v>136</v>
      </c>
      <c r="C8" s="702" t="s">
        <v>93</v>
      </c>
      <c r="D8" s="179" t="s">
        <v>122</v>
      </c>
      <c r="E8" s="28"/>
      <c r="F8" s="29"/>
      <c r="G8" s="24">
        <f t="shared" si="0"/>
        <v>0</v>
      </c>
      <c r="H8" s="28"/>
      <c r="J8" s="24">
        <f>H8-L8</f>
        <v>-781.30121334172816</v>
      </c>
      <c r="K8" s="28"/>
      <c r="L8" s="29">
        <f>I43</f>
        <v>781.30121334172816</v>
      </c>
      <c r="M8" s="24">
        <f>K8-L8</f>
        <v>-781.30121334172816</v>
      </c>
      <c r="N8" s="28">
        <v>762.25</v>
      </c>
      <c r="O8" s="29">
        <f>I72+I77+I82</f>
        <v>596.99035150169902</v>
      </c>
      <c r="P8" s="25">
        <f t="shared" si="3"/>
        <v>165.25964849830098</v>
      </c>
      <c r="Q8" s="22">
        <f t="shared" si="6"/>
        <v>762.25</v>
      </c>
      <c r="R8" s="23">
        <f t="shared" ref="R8:R13" si="8">O8+L8+I8+F8</f>
        <v>1378.2915648434273</v>
      </c>
      <c r="S8" s="26">
        <f t="shared" si="7"/>
        <v>-616.0415648434273</v>
      </c>
    </row>
    <row r="9" spans="2:19" ht="47.25" x14ac:dyDescent="0.25">
      <c r="B9" s="663"/>
      <c r="C9" s="703"/>
      <c r="D9" s="179" t="s">
        <v>123</v>
      </c>
      <c r="E9" s="28"/>
      <c r="F9" s="29"/>
      <c r="G9" s="24">
        <f t="shared" si="0"/>
        <v>0</v>
      </c>
      <c r="H9" s="28"/>
      <c r="I9" s="29"/>
      <c r="J9" s="24">
        <f t="shared" si="1"/>
        <v>0</v>
      </c>
      <c r="K9" s="28"/>
      <c r="L9" s="29"/>
      <c r="M9" s="24">
        <f t="shared" si="2"/>
        <v>0</v>
      </c>
      <c r="N9" s="28">
        <v>8003.57</v>
      </c>
      <c r="O9" s="29">
        <f>SUM(I48:I67)</f>
        <v>1524.4901723741034</v>
      </c>
      <c r="P9" s="25">
        <f t="shared" si="3"/>
        <v>6479.0798276258965</v>
      </c>
      <c r="Q9" s="22">
        <f t="shared" si="6"/>
        <v>8003.57</v>
      </c>
      <c r="R9" s="23">
        <f t="shared" si="8"/>
        <v>1524.4901723741034</v>
      </c>
      <c r="S9" s="26">
        <f t="shared" si="7"/>
        <v>6479.0798276258965</v>
      </c>
    </row>
    <row r="10" spans="2:19" ht="31.5" x14ac:dyDescent="0.25">
      <c r="B10" s="664"/>
      <c r="C10" s="704"/>
      <c r="D10" s="179" t="s">
        <v>124</v>
      </c>
      <c r="E10" s="28"/>
      <c r="F10" s="29"/>
      <c r="G10" s="24">
        <f t="shared" si="0"/>
        <v>0</v>
      </c>
      <c r="H10" s="28"/>
      <c r="I10" s="29"/>
      <c r="J10" s="24">
        <f t="shared" si="1"/>
        <v>0</v>
      </c>
      <c r="K10" s="28"/>
      <c r="L10" s="29"/>
      <c r="M10" s="24">
        <f t="shared" si="2"/>
        <v>0</v>
      </c>
      <c r="N10" s="28">
        <v>914.69</v>
      </c>
      <c r="O10" s="29">
        <f>I73+I74+I75+I76+I78+I79+I80+I81+I71+I70+I69+I68</f>
        <v>289.65313275107974</v>
      </c>
      <c r="P10" s="25">
        <f t="shared" si="3"/>
        <v>625.03686724892032</v>
      </c>
      <c r="Q10" s="22">
        <f t="shared" si="6"/>
        <v>914.69</v>
      </c>
      <c r="R10" s="23">
        <f t="shared" si="8"/>
        <v>289.65313275107974</v>
      </c>
      <c r="S10" s="26">
        <f t="shared" si="7"/>
        <v>625.03686724892032</v>
      </c>
    </row>
    <row r="11" spans="2:19" ht="15.75" x14ac:dyDescent="0.25">
      <c r="B11" s="20" t="s">
        <v>137</v>
      </c>
      <c r="C11" s="184" t="s">
        <v>132</v>
      </c>
      <c r="D11" s="196" t="s">
        <v>138</v>
      </c>
      <c r="E11" s="28"/>
      <c r="F11" s="29">
        <f>I19+I20+I21+I22+I23</f>
        <v>850.66551618474978</v>
      </c>
      <c r="G11" s="24"/>
      <c r="H11" s="28">
        <v>3430.1</v>
      </c>
      <c r="I11" s="29">
        <f>I30</f>
        <v>1524.4901723741038</v>
      </c>
      <c r="J11" s="25">
        <f t="shared" si="1"/>
        <v>1905.6098276258961</v>
      </c>
      <c r="K11" s="28"/>
      <c r="L11" s="29"/>
      <c r="M11" s="24"/>
      <c r="N11" s="28"/>
      <c r="O11" s="29"/>
      <c r="P11" s="25"/>
      <c r="Q11" s="22">
        <f t="shared" si="6"/>
        <v>3430.1</v>
      </c>
      <c r="R11" s="23">
        <f t="shared" si="8"/>
        <v>2375.1556885588534</v>
      </c>
      <c r="S11" s="26">
        <f t="shared" si="7"/>
        <v>1054.9443114411465</v>
      </c>
    </row>
    <row r="12" spans="2:19" ht="91.5" customHeight="1" x14ac:dyDescent="0.25">
      <c r="B12" s="20" t="s">
        <v>139</v>
      </c>
      <c r="C12" s="168" t="s">
        <v>94</v>
      </c>
      <c r="D12" s="27"/>
      <c r="E12" s="28"/>
      <c r="F12" s="29"/>
      <c r="G12" s="24">
        <f t="shared" si="0"/>
        <v>0</v>
      </c>
      <c r="H12" s="28"/>
      <c r="I12" s="29"/>
      <c r="J12" s="24"/>
      <c r="K12" s="28">
        <v>1524.49</v>
      </c>
      <c r="L12" s="29"/>
      <c r="M12" s="24">
        <f t="shared" si="2"/>
        <v>1524.49</v>
      </c>
      <c r="N12" s="28">
        <v>1524.49</v>
      </c>
      <c r="O12" s="29"/>
      <c r="P12" s="24">
        <f t="shared" si="3"/>
        <v>1524.49</v>
      </c>
      <c r="Q12" s="22">
        <f t="shared" si="6"/>
        <v>3048.98</v>
      </c>
      <c r="R12" s="23">
        <f t="shared" si="8"/>
        <v>0</v>
      </c>
      <c r="S12" s="26">
        <f t="shared" si="7"/>
        <v>3048.98</v>
      </c>
    </row>
    <row r="13" spans="2:19" ht="16.149999999999999" thickBot="1" x14ac:dyDescent="0.3">
      <c r="B13" s="20" t="s">
        <v>140</v>
      </c>
      <c r="C13" s="184" t="s">
        <v>132</v>
      </c>
      <c r="D13" s="27"/>
      <c r="E13" s="28"/>
      <c r="F13" s="29"/>
      <c r="G13" s="24">
        <f t="shared" ref="G13:G14" si="9">E13-F13</f>
        <v>0</v>
      </c>
      <c r="H13" s="28">
        <v>1524.49</v>
      </c>
      <c r="I13" s="29"/>
      <c r="J13" s="24">
        <f>H13-I13</f>
        <v>1524.49</v>
      </c>
      <c r="K13" s="28"/>
      <c r="L13" s="29"/>
      <c r="M13" s="24">
        <f t="shared" ref="M13:M14" si="10">K13-L13</f>
        <v>0</v>
      </c>
      <c r="N13" s="28"/>
      <c r="O13" s="29"/>
      <c r="P13" s="25">
        <f t="shared" ref="P13:P14" si="11">N13-O13</f>
        <v>0</v>
      </c>
      <c r="Q13" s="22">
        <f t="shared" si="6"/>
        <v>1524.49</v>
      </c>
      <c r="R13" s="23">
        <f t="shared" si="8"/>
        <v>0</v>
      </c>
      <c r="S13" s="26">
        <f t="shared" si="7"/>
        <v>1524.49</v>
      </c>
    </row>
    <row r="14" spans="2:19" ht="15.75" thickBot="1" x14ac:dyDescent="0.3">
      <c r="B14" s="674" t="s">
        <v>12</v>
      </c>
      <c r="C14" s="675"/>
      <c r="D14" s="676"/>
      <c r="E14" s="36">
        <f>SUM(E6:E13)</f>
        <v>0</v>
      </c>
      <c r="F14" s="36">
        <f>SUM(F6:F13)</f>
        <v>850.66551618474978</v>
      </c>
      <c r="G14" s="37">
        <f t="shared" si="9"/>
        <v>-850.66551618474978</v>
      </c>
      <c r="H14" s="36">
        <f>SUM(H6:H13)</f>
        <v>5411.94</v>
      </c>
      <c r="I14" s="36">
        <f>SUM(I6:I13)</f>
        <v>1524.4901723741038</v>
      </c>
      <c r="J14" s="37">
        <f t="shared" ref="J14" si="12">H14-I14</f>
        <v>3887.4498276258955</v>
      </c>
      <c r="K14" s="36">
        <f>SUM(K6:K13)</f>
        <v>1524.49</v>
      </c>
      <c r="L14" s="36">
        <f>SUM(L6:L13)</f>
        <v>1467.3217909100749</v>
      </c>
      <c r="M14" s="37">
        <f t="shared" si="10"/>
        <v>57.168209089925085</v>
      </c>
      <c r="N14" s="36">
        <f>SUM(N6:N13)</f>
        <v>11662.35</v>
      </c>
      <c r="O14" s="36">
        <f>SUM(O6:O13)</f>
        <v>2411.1336566268824</v>
      </c>
      <c r="P14" s="37">
        <f t="shared" si="11"/>
        <v>9251.2163433731184</v>
      </c>
      <c r="Q14" s="36">
        <f>SUM(Q6:Q13)</f>
        <v>18598.780000000002</v>
      </c>
      <c r="R14" s="38">
        <f>O14+L14+I14+F14</f>
        <v>6253.6111360958112</v>
      </c>
      <c r="S14" s="37">
        <f t="shared" si="5"/>
        <v>12345.168863904191</v>
      </c>
    </row>
    <row r="16" spans="2:19" ht="15.75" thickBot="1" x14ac:dyDescent="0.3">
      <c r="E16" s="2" t="s">
        <v>31</v>
      </c>
      <c r="F16" s="2" t="s">
        <v>32</v>
      </c>
      <c r="G16" s="2" t="s">
        <v>136</v>
      </c>
      <c r="H16" s="2" t="s">
        <v>137</v>
      </c>
      <c r="I16" s="2" t="s">
        <v>139</v>
      </c>
      <c r="J16" s="2" t="s">
        <v>140</v>
      </c>
    </row>
    <row r="17" spans="5:18" ht="15.75" thickBot="1" x14ac:dyDescent="0.3">
      <c r="E17" s="749" t="s">
        <v>59</v>
      </c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1"/>
    </row>
    <row r="18" spans="5:18" ht="43.5" thickBot="1" x14ac:dyDescent="0.3">
      <c r="E18" s="39" t="s">
        <v>47</v>
      </c>
      <c r="F18" s="40" t="s">
        <v>48</v>
      </c>
      <c r="G18" s="41" t="s">
        <v>49</v>
      </c>
      <c r="H18" s="42" t="s">
        <v>54</v>
      </c>
      <c r="I18" s="43" t="s">
        <v>50</v>
      </c>
      <c r="J18" s="752" t="s">
        <v>51</v>
      </c>
      <c r="K18" s="753"/>
      <c r="L18" s="753"/>
      <c r="M18" s="753"/>
      <c r="N18" s="753"/>
      <c r="O18" s="753"/>
      <c r="P18" s="753"/>
      <c r="Q18" s="754"/>
      <c r="R18" s="43" t="s">
        <v>52</v>
      </c>
    </row>
    <row r="19" spans="5:18" ht="15.75" thickBot="1" x14ac:dyDescent="0.3">
      <c r="E19" s="44">
        <v>655.95699999999999</v>
      </c>
      <c r="F19" s="45">
        <v>490</v>
      </c>
      <c r="G19" s="46">
        <v>43908</v>
      </c>
      <c r="H19" s="47">
        <v>287000</v>
      </c>
      <c r="I19" s="190">
        <f>H19/'Budget R1'!$E$27</f>
        <v>437.52867947136781</v>
      </c>
      <c r="J19" s="796" t="s">
        <v>163</v>
      </c>
      <c r="K19" s="797"/>
      <c r="L19" s="797"/>
      <c r="M19" s="797"/>
      <c r="N19" s="797"/>
      <c r="O19" s="797"/>
      <c r="P19" s="797"/>
      <c r="Q19" s="798"/>
      <c r="R19" s="48" t="s">
        <v>137</v>
      </c>
    </row>
    <row r="20" spans="5:18" x14ac:dyDescent="0.25">
      <c r="E20" s="743"/>
      <c r="F20" s="49">
        <v>2344</v>
      </c>
      <c r="G20" s="50">
        <v>43908</v>
      </c>
      <c r="H20" s="218">
        <v>48000</v>
      </c>
      <c r="I20" s="189">
        <f>H20/'Budget R1'!$E$27</f>
        <v>73.175528273956985</v>
      </c>
      <c r="J20" s="799" t="s">
        <v>164</v>
      </c>
      <c r="K20" s="800"/>
      <c r="L20" s="800"/>
      <c r="M20" s="800"/>
      <c r="N20" s="800"/>
      <c r="O20" s="800"/>
      <c r="P20" s="800"/>
      <c r="Q20" s="801"/>
      <c r="R20" s="52" t="s">
        <v>137</v>
      </c>
    </row>
    <row r="21" spans="5:18" x14ac:dyDescent="0.25">
      <c r="E21" s="743"/>
      <c r="F21" s="53">
        <v>10</v>
      </c>
      <c r="G21" s="54">
        <v>43908</v>
      </c>
      <c r="H21" s="219">
        <v>20000</v>
      </c>
      <c r="I21" s="189">
        <f>H21/'Budget R1'!$E$27</f>
        <v>30.489803447482075</v>
      </c>
      <c r="J21" s="744" t="s">
        <v>165</v>
      </c>
      <c r="K21" s="744"/>
      <c r="L21" s="744"/>
      <c r="M21" s="744"/>
      <c r="N21" s="744"/>
      <c r="O21" s="744"/>
      <c r="P21" s="744"/>
      <c r="Q21" s="745"/>
      <c r="R21" s="52" t="s">
        <v>137</v>
      </c>
    </row>
    <row r="22" spans="5:18" x14ac:dyDescent="0.25">
      <c r="E22" s="743"/>
      <c r="F22" s="53">
        <v>1051</v>
      </c>
      <c r="G22" s="54">
        <v>43909</v>
      </c>
      <c r="H22" s="219">
        <v>153000</v>
      </c>
      <c r="I22" s="189">
        <f>H22/'Budget R1'!$E$27</f>
        <v>233.24699637323789</v>
      </c>
      <c r="J22" s="744" t="s">
        <v>166</v>
      </c>
      <c r="K22" s="744"/>
      <c r="L22" s="744"/>
      <c r="M22" s="744"/>
      <c r="N22" s="744"/>
      <c r="O22" s="744"/>
      <c r="P22" s="744"/>
      <c r="Q22" s="745"/>
      <c r="R22" s="52" t="s">
        <v>137</v>
      </c>
    </row>
    <row r="23" spans="5:18" x14ac:dyDescent="0.25">
      <c r="E23" s="743"/>
      <c r="F23" s="53">
        <v>78</v>
      </c>
      <c r="G23" s="54">
        <v>43910</v>
      </c>
      <c r="H23" s="219">
        <v>50000</v>
      </c>
      <c r="I23" s="189">
        <f>H23/'Budget R1'!$E$27</f>
        <v>76.224508618705187</v>
      </c>
      <c r="J23" s="744" t="s">
        <v>167</v>
      </c>
      <c r="K23" s="744"/>
      <c r="L23" s="744"/>
      <c r="M23" s="744"/>
      <c r="N23" s="744"/>
      <c r="O23" s="744"/>
      <c r="P23" s="744"/>
      <c r="Q23" s="745"/>
      <c r="R23" s="52" t="s">
        <v>137</v>
      </c>
    </row>
    <row r="24" spans="5:18" x14ac:dyDescent="0.25">
      <c r="E24" s="743"/>
      <c r="F24" s="95"/>
      <c r="G24" s="50"/>
      <c r="H24" s="49"/>
      <c r="I24" s="93">
        <f>H24/$E$19</f>
        <v>0</v>
      </c>
      <c r="J24" s="801"/>
      <c r="K24" s="810"/>
      <c r="L24" s="810"/>
      <c r="M24" s="810"/>
      <c r="N24" s="810"/>
      <c r="O24" s="810"/>
      <c r="P24" s="810"/>
      <c r="Q24" s="811"/>
      <c r="R24" s="387"/>
    </row>
    <row r="25" spans="5:18" x14ac:dyDescent="0.25">
      <c r="E25" s="743"/>
      <c r="F25" s="58"/>
      <c r="G25" s="50"/>
      <c r="H25" s="55"/>
      <c r="I25" s="189">
        <f t="shared" ref="I25:I33" si="13">H25/$E$19</f>
        <v>0</v>
      </c>
      <c r="J25" s="744"/>
      <c r="K25" s="744"/>
      <c r="L25" s="744"/>
      <c r="M25" s="744"/>
      <c r="N25" s="744"/>
      <c r="O25" s="744"/>
      <c r="P25" s="744"/>
      <c r="Q25" s="745"/>
      <c r="R25" s="59"/>
    </row>
    <row r="26" spans="5:18" x14ac:dyDescent="0.25">
      <c r="E26" s="743"/>
      <c r="F26" s="58"/>
      <c r="G26" s="50"/>
      <c r="H26" s="53"/>
      <c r="I26" s="189">
        <f t="shared" si="13"/>
        <v>0</v>
      </c>
      <c r="J26" s="744"/>
      <c r="K26" s="744"/>
      <c r="L26" s="744"/>
      <c r="M26" s="744"/>
      <c r="N26" s="744"/>
      <c r="O26" s="744"/>
      <c r="P26" s="744"/>
      <c r="Q26" s="745"/>
      <c r="R26" s="52"/>
    </row>
    <row r="27" spans="5:18" x14ac:dyDescent="0.25">
      <c r="E27" s="743"/>
      <c r="F27" s="58"/>
      <c r="G27" s="50"/>
      <c r="H27" s="53"/>
      <c r="I27" s="189">
        <f t="shared" si="13"/>
        <v>0</v>
      </c>
      <c r="J27" s="744"/>
      <c r="K27" s="744"/>
      <c r="L27" s="744"/>
      <c r="M27" s="744"/>
      <c r="N27" s="744"/>
      <c r="O27" s="744"/>
      <c r="P27" s="744"/>
      <c r="Q27" s="745"/>
      <c r="R27" s="59"/>
    </row>
    <row r="28" spans="5:18" ht="15.75" thickBot="1" x14ac:dyDescent="0.3">
      <c r="E28" s="743"/>
      <c r="F28" s="58"/>
      <c r="G28" s="50"/>
      <c r="H28" s="55"/>
      <c r="I28" s="189">
        <f t="shared" si="13"/>
        <v>0</v>
      </c>
      <c r="J28" s="744"/>
      <c r="K28" s="744"/>
      <c r="L28" s="744"/>
      <c r="M28" s="744"/>
      <c r="N28" s="744"/>
      <c r="O28" s="744"/>
      <c r="P28" s="744"/>
      <c r="Q28" s="745"/>
      <c r="R28" s="63"/>
    </row>
    <row r="29" spans="5:18" ht="15.75" thickBot="1" x14ac:dyDescent="0.3">
      <c r="E29" s="64"/>
      <c r="F29" s="736" t="s">
        <v>58</v>
      </c>
      <c r="G29" s="737"/>
      <c r="H29" s="65">
        <f>SUM(H19:H23)</f>
        <v>558000</v>
      </c>
      <c r="I29" s="65">
        <f>SUM(I19:I23)</f>
        <v>850.66551618474978</v>
      </c>
      <c r="J29" s="738"/>
      <c r="K29" s="738"/>
      <c r="L29" s="738"/>
      <c r="M29" s="738"/>
      <c r="N29" s="738"/>
      <c r="O29" s="738"/>
      <c r="P29" s="738"/>
      <c r="Q29" s="739"/>
      <c r="R29" s="66"/>
    </row>
    <row r="30" spans="5:18" ht="15.75" thickBot="1" x14ac:dyDescent="0.3">
      <c r="E30" s="67">
        <v>655.95699999999999</v>
      </c>
      <c r="F30" s="58"/>
      <c r="G30" s="54">
        <v>43949</v>
      </c>
      <c r="H30" s="55">
        <v>1000000</v>
      </c>
      <c r="I30" s="189">
        <f t="shared" si="13"/>
        <v>1524.4901723741038</v>
      </c>
      <c r="J30" s="761" t="s">
        <v>283</v>
      </c>
      <c r="K30" s="744"/>
      <c r="L30" s="744"/>
      <c r="M30" s="744"/>
      <c r="N30" s="744"/>
      <c r="O30" s="744"/>
      <c r="P30" s="744"/>
      <c r="Q30" s="745"/>
      <c r="R30" s="71" t="s">
        <v>137</v>
      </c>
    </row>
    <row r="31" spans="5:18" x14ac:dyDescent="0.25">
      <c r="E31" s="781"/>
      <c r="F31" s="77"/>
      <c r="G31" s="73"/>
      <c r="H31" s="76"/>
      <c r="I31" s="70">
        <f t="shared" si="13"/>
        <v>0</v>
      </c>
      <c r="J31" s="761"/>
      <c r="K31" s="744"/>
      <c r="L31" s="744"/>
      <c r="M31" s="744"/>
      <c r="N31" s="744"/>
      <c r="O31" s="744"/>
      <c r="P31" s="744"/>
      <c r="Q31" s="745"/>
      <c r="R31" s="78"/>
    </row>
    <row r="32" spans="5:18" x14ac:dyDescent="0.25">
      <c r="E32" s="743"/>
      <c r="F32" s="77"/>
      <c r="G32" s="73"/>
      <c r="H32" s="76"/>
      <c r="I32" s="70">
        <f t="shared" si="13"/>
        <v>0</v>
      </c>
      <c r="J32" s="761"/>
      <c r="K32" s="744"/>
      <c r="L32" s="744"/>
      <c r="M32" s="744"/>
      <c r="N32" s="744"/>
      <c r="O32" s="744"/>
      <c r="P32" s="744"/>
      <c r="Q32" s="745"/>
      <c r="R32" s="78"/>
    </row>
    <row r="33" spans="5:18" x14ac:dyDescent="0.25">
      <c r="E33" s="743"/>
      <c r="F33" s="77"/>
      <c r="G33" s="73"/>
      <c r="H33" s="76"/>
      <c r="I33" s="70">
        <f t="shared" si="13"/>
        <v>0</v>
      </c>
      <c r="J33" s="761"/>
      <c r="K33" s="744"/>
      <c r="L33" s="744"/>
      <c r="M33" s="744"/>
      <c r="N33" s="744"/>
      <c r="O33" s="744"/>
      <c r="P33" s="744"/>
      <c r="Q33" s="745"/>
      <c r="R33" s="78"/>
    </row>
    <row r="34" spans="5:18" x14ac:dyDescent="0.25">
      <c r="E34" s="743"/>
      <c r="F34" s="77"/>
      <c r="G34" s="73"/>
      <c r="H34" s="74"/>
      <c r="I34" s="70">
        <f t="shared" ref="I34:I36" si="14">H34/$E$30</f>
        <v>0</v>
      </c>
      <c r="J34" s="765"/>
      <c r="K34" s="765"/>
      <c r="L34" s="765"/>
      <c r="M34" s="765"/>
      <c r="N34" s="765"/>
      <c r="O34" s="765"/>
      <c r="P34" s="765"/>
      <c r="Q34" s="766"/>
      <c r="R34" s="75"/>
    </row>
    <row r="35" spans="5:18" x14ac:dyDescent="0.25">
      <c r="E35" s="743"/>
      <c r="F35" s="77"/>
      <c r="G35" s="73"/>
      <c r="H35" s="74"/>
      <c r="I35" s="70">
        <f t="shared" si="14"/>
        <v>0</v>
      </c>
      <c r="J35" s="765"/>
      <c r="K35" s="765"/>
      <c r="L35" s="765"/>
      <c r="M35" s="765"/>
      <c r="N35" s="765"/>
      <c r="O35" s="765"/>
      <c r="P35" s="765"/>
      <c r="Q35" s="766"/>
      <c r="R35" s="80"/>
    </row>
    <row r="36" spans="5:18" ht="15.75" thickBot="1" x14ac:dyDescent="0.3">
      <c r="E36" s="782"/>
      <c r="F36" s="77"/>
      <c r="G36" s="73"/>
      <c r="H36" s="74"/>
      <c r="I36" s="70">
        <f t="shared" si="14"/>
        <v>0</v>
      </c>
      <c r="J36" s="765"/>
      <c r="K36" s="765"/>
      <c r="L36" s="765"/>
      <c r="M36" s="765"/>
      <c r="N36" s="765"/>
      <c r="O36" s="765"/>
      <c r="P36" s="765"/>
      <c r="Q36" s="766"/>
      <c r="R36" s="80"/>
    </row>
    <row r="37" spans="5:18" ht="15.75" thickBot="1" x14ac:dyDescent="0.3">
      <c r="E37" s="64"/>
      <c r="F37" s="433" t="s">
        <v>57</v>
      </c>
      <c r="G37" s="434"/>
      <c r="H37" s="582">
        <f>SUM(H30:H36)</f>
        <v>1000000</v>
      </c>
      <c r="I37" s="191">
        <f>SUM(I30:I36)</f>
        <v>1524.4901723741038</v>
      </c>
      <c r="J37" s="431"/>
      <c r="K37" s="431"/>
      <c r="L37" s="431"/>
      <c r="M37" s="431"/>
      <c r="N37" s="431"/>
      <c r="O37" s="431"/>
      <c r="P37" s="431"/>
      <c r="Q37" s="432"/>
      <c r="R37" s="66"/>
    </row>
    <row r="38" spans="5:18" ht="15.75" thickBot="1" x14ac:dyDescent="0.3">
      <c r="E38" s="85">
        <v>655.95699999999999</v>
      </c>
      <c r="F38" s="68"/>
      <c r="G38" s="422">
        <v>44079</v>
      </c>
      <c r="H38" s="426">
        <v>15000</v>
      </c>
      <c r="I38" s="70">
        <f>H38/$E$38</f>
        <v>22.867352585611556</v>
      </c>
      <c r="J38" s="765" t="s">
        <v>421</v>
      </c>
      <c r="K38" s="765"/>
      <c r="L38" s="765"/>
      <c r="M38" s="765"/>
      <c r="N38" s="765"/>
      <c r="O38" s="765"/>
      <c r="P38" s="765"/>
      <c r="Q38" s="766"/>
      <c r="R38" s="71" t="s">
        <v>31</v>
      </c>
    </row>
    <row r="39" spans="5:18" x14ac:dyDescent="0.25">
      <c r="E39" s="805"/>
      <c r="F39" s="87">
        <v>4</v>
      </c>
      <c r="G39" s="50">
        <v>44083</v>
      </c>
      <c r="H39" s="213">
        <v>5000</v>
      </c>
      <c r="I39" s="70">
        <f t="shared" ref="I39:I46" si="15">H39/$E$38</f>
        <v>7.6224508618705187</v>
      </c>
      <c r="J39" s="765" t="s">
        <v>425</v>
      </c>
      <c r="K39" s="765"/>
      <c r="L39" s="765"/>
      <c r="M39" s="765"/>
      <c r="N39" s="765"/>
      <c r="O39" s="765"/>
      <c r="P39" s="765"/>
      <c r="Q39" s="766"/>
      <c r="R39" s="71" t="s">
        <v>31</v>
      </c>
    </row>
    <row r="40" spans="5:18" x14ac:dyDescent="0.25">
      <c r="E40" s="806"/>
      <c r="F40" s="86">
        <v>54</v>
      </c>
      <c r="G40" s="54">
        <v>44096</v>
      </c>
      <c r="H40" s="214">
        <v>180000</v>
      </c>
      <c r="I40" s="70">
        <f t="shared" si="15"/>
        <v>274.40823102733867</v>
      </c>
      <c r="J40" s="765" t="s">
        <v>436</v>
      </c>
      <c r="K40" s="765"/>
      <c r="L40" s="765"/>
      <c r="M40" s="765"/>
      <c r="N40" s="765"/>
      <c r="O40" s="765"/>
      <c r="P40" s="765"/>
      <c r="Q40" s="766"/>
      <c r="R40" s="71" t="s">
        <v>31</v>
      </c>
    </row>
    <row r="41" spans="5:18" x14ac:dyDescent="0.25">
      <c r="E41" s="806"/>
      <c r="F41" s="86"/>
      <c r="G41" s="54">
        <v>44096</v>
      </c>
      <c r="H41" s="214">
        <v>200000</v>
      </c>
      <c r="I41" s="70">
        <f t="shared" si="15"/>
        <v>304.89803447482075</v>
      </c>
      <c r="J41" s="765" t="s">
        <v>437</v>
      </c>
      <c r="K41" s="765"/>
      <c r="L41" s="765"/>
      <c r="M41" s="765"/>
      <c r="N41" s="765"/>
      <c r="O41" s="765"/>
      <c r="P41" s="765"/>
      <c r="Q41" s="766"/>
      <c r="R41" s="71" t="s">
        <v>31</v>
      </c>
    </row>
    <row r="42" spans="5:18" x14ac:dyDescent="0.25">
      <c r="E42" s="806"/>
      <c r="F42" s="86">
        <v>17</v>
      </c>
      <c r="G42" s="54">
        <v>44096</v>
      </c>
      <c r="H42" s="214">
        <v>50000</v>
      </c>
      <c r="I42" s="70">
        <f t="shared" si="15"/>
        <v>76.224508618705187</v>
      </c>
      <c r="J42" s="765" t="s">
        <v>438</v>
      </c>
      <c r="K42" s="765"/>
      <c r="L42" s="765"/>
      <c r="M42" s="765"/>
      <c r="N42" s="765"/>
      <c r="O42" s="765"/>
      <c r="P42" s="765"/>
      <c r="Q42" s="766"/>
      <c r="R42" s="71" t="s">
        <v>31</v>
      </c>
    </row>
    <row r="43" spans="5:18" x14ac:dyDescent="0.25">
      <c r="E43" s="806"/>
      <c r="F43" s="86" t="s">
        <v>523</v>
      </c>
      <c r="G43" s="54">
        <v>44097</v>
      </c>
      <c r="H43" s="214">
        <v>512500</v>
      </c>
      <c r="I43" s="70">
        <f t="shared" si="15"/>
        <v>781.30121334172816</v>
      </c>
      <c r="J43" s="765" t="s">
        <v>493</v>
      </c>
      <c r="K43" s="765"/>
      <c r="L43" s="765"/>
      <c r="M43" s="765"/>
      <c r="N43" s="765"/>
      <c r="O43" s="765"/>
      <c r="P43" s="765"/>
      <c r="Q43" s="766"/>
      <c r="R43" s="71" t="s">
        <v>136</v>
      </c>
    </row>
    <row r="44" spans="5:18" x14ac:dyDescent="0.25">
      <c r="E44" s="806"/>
      <c r="F44" s="86"/>
      <c r="G44" s="54"/>
      <c r="H44" s="214"/>
      <c r="I44" s="70">
        <f t="shared" si="15"/>
        <v>0</v>
      </c>
      <c r="J44" s="765"/>
      <c r="K44" s="765"/>
      <c r="L44" s="765"/>
      <c r="M44" s="765"/>
      <c r="N44" s="765"/>
      <c r="O44" s="765"/>
      <c r="P44" s="765"/>
      <c r="Q44" s="766"/>
      <c r="R44" s="71"/>
    </row>
    <row r="45" spans="5:18" x14ac:dyDescent="0.25">
      <c r="E45" s="806"/>
      <c r="F45" s="88"/>
      <c r="G45" s="54"/>
      <c r="H45" s="214"/>
      <c r="I45" s="70">
        <f t="shared" si="15"/>
        <v>0</v>
      </c>
      <c r="J45" s="765"/>
      <c r="K45" s="765"/>
      <c r="L45" s="765"/>
      <c r="M45" s="765"/>
      <c r="N45" s="765"/>
      <c r="O45" s="765"/>
      <c r="P45" s="765"/>
      <c r="Q45" s="766"/>
      <c r="R45" s="71"/>
    </row>
    <row r="46" spans="5:18" ht="15.75" thickBot="1" x14ac:dyDescent="0.3">
      <c r="E46" s="806"/>
      <c r="F46" s="89"/>
      <c r="G46" s="54"/>
      <c r="H46" s="214"/>
      <c r="I46" s="70">
        <f t="shared" si="15"/>
        <v>0</v>
      </c>
      <c r="J46" s="765"/>
      <c r="K46" s="765"/>
      <c r="L46" s="765"/>
      <c r="M46" s="765"/>
      <c r="N46" s="765"/>
      <c r="O46" s="765"/>
      <c r="P46" s="765"/>
      <c r="Q46" s="766"/>
      <c r="R46" s="71"/>
    </row>
    <row r="47" spans="5:18" ht="15.75" thickBot="1" x14ac:dyDescent="0.3">
      <c r="E47" s="64"/>
      <c r="F47" s="433" t="s">
        <v>55</v>
      </c>
      <c r="G47" s="434"/>
      <c r="H47" s="582">
        <f>SUM(H38:H46)</f>
        <v>962500</v>
      </c>
      <c r="I47" s="191">
        <f>SUM(I38:I46)</f>
        <v>1467.3217909100749</v>
      </c>
      <c r="J47" s="431"/>
      <c r="K47" s="431"/>
      <c r="L47" s="431"/>
      <c r="M47" s="431"/>
      <c r="N47" s="431"/>
      <c r="O47" s="431"/>
      <c r="P47" s="431"/>
      <c r="Q47" s="432"/>
      <c r="R47" s="66"/>
    </row>
    <row r="48" spans="5:18" ht="15.75" thickBot="1" x14ac:dyDescent="0.3">
      <c r="E48" s="85">
        <v>655.95699999999999</v>
      </c>
      <c r="F48" s="95">
        <v>801</v>
      </c>
      <c r="G48" s="50">
        <v>44135</v>
      </c>
      <c r="H48" s="213">
        <v>50000</v>
      </c>
      <c r="I48" s="70">
        <f>H48/$E$48</f>
        <v>76.224508618705187</v>
      </c>
      <c r="J48" s="763" t="s">
        <v>500</v>
      </c>
      <c r="K48" s="763"/>
      <c r="L48" s="763"/>
      <c r="M48" s="763"/>
      <c r="N48" s="763"/>
      <c r="O48" s="763"/>
      <c r="P48" s="763"/>
      <c r="Q48" s="764"/>
      <c r="R48" s="71" t="s">
        <v>136</v>
      </c>
    </row>
    <row r="49" spans="5:18" x14ac:dyDescent="0.25">
      <c r="E49" s="783"/>
      <c r="F49" s="53">
        <v>802</v>
      </c>
      <c r="G49" s="54">
        <f>G48</f>
        <v>44135</v>
      </c>
      <c r="H49" s="213">
        <v>50000</v>
      </c>
      <c r="I49" s="70">
        <f t="shared" ref="I49:I85" si="16">H49/$E$48</f>
        <v>76.224508618705187</v>
      </c>
      <c r="J49" s="763" t="s">
        <v>501</v>
      </c>
      <c r="K49" s="763"/>
      <c r="L49" s="763"/>
      <c r="M49" s="763"/>
      <c r="N49" s="763"/>
      <c r="O49" s="763"/>
      <c r="P49" s="763"/>
      <c r="Q49" s="764"/>
      <c r="R49" s="71" t="s">
        <v>136</v>
      </c>
    </row>
    <row r="50" spans="5:18" x14ac:dyDescent="0.25">
      <c r="E50" s="784"/>
      <c r="F50" s="53">
        <v>803</v>
      </c>
      <c r="G50" s="54">
        <f t="shared" ref="G50:G69" si="17">G49</f>
        <v>44135</v>
      </c>
      <c r="H50" s="213">
        <v>50000</v>
      </c>
      <c r="I50" s="70">
        <f t="shared" si="16"/>
        <v>76.224508618705187</v>
      </c>
      <c r="J50" s="763" t="s">
        <v>502</v>
      </c>
      <c r="K50" s="763"/>
      <c r="L50" s="763"/>
      <c r="M50" s="763"/>
      <c r="N50" s="763"/>
      <c r="O50" s="763"/>
      <c r="P50" s="763"/>
      <c r="Q50" s="764"/>
      <c r="R50" s="71" t="s">
        <v>136</v>
      </c>
    </row>
    <row r="51" spans="5:18" x14ac:dyDescent="0.25">
      <c r="E51" s="784"/>
      <c r="F51" s="53">
        <v>804</v>
      </c>
      <c r="G51" s="54">
        <f t="shared" si="17"/>
        <v>44135</v>
      </c>
      <c r="H51" s="213">
        <v>50000</v>
      </c>
      <c r="I51" s="70">
        <f t="shared" si="16"/>
        <v>76.224508618705187</v>
      </c>
      <c r="J51" s="763" t="s">
        <v>503</v>
      </c>
      <c r="K51" s="763"/>
      <c r="L51" s="763"/>
      <c r="M51" s="763"/>
      <c r="N51" s="763"/>
      <c r="O51" s="763"/>
      <c r="P51" s="763"/>
      <c r="Q51" s="764"/>
      <c r="R51" s="71" t="s">
        <v>136</v>
      </c>
    </row>
    <row r="52" spans="5:18" x14ac:dyDescent="0.25">
      <c r="E52" s="784"/>
      <c r="F52" s="53">
        <v>817</v>
      </c>
      <c r="G52" s="54">
        <f t="shared" si="17"/>
        <v>44135</v>
      </c>
      <c r="H52" s="213">
        <v>50000</v>
      </c>
      <c r="I52" s="70">
        <f t="shared" si="16"/>
        <v>76.224508618705187</v>
      </c>
      <c r="J52" s="763" t="s">
        <v>504</v>
      </c>
      <c r="K52" s="763"/>
      <c r="L52" s="763"/>
      <c r="M52" s="763"/>
      <c r="N52" s="763"/>
      <c r="O52" s="763"/>
      <c r="P52" s="763"/>
      <c r="Q52" s="764"/>
      <c r="R52" s="71" t="s">
        <v>136</v>
      </c>
    </row>
    <row r="53" spans="5:18" x14ac:dyDescent="0.25">
      <c r="E53" s="784"/>
      <c r="F53" s="53">
        <v>806</v>
      </c>
      <c r="G53" s="54">
        <f t="shared" si="17"/>
        <v>44135</v>
      </c>
      <c r="H53" s="213">
        <v>50000</v>
      </c>
      <c r="I53" s="70">
        <f t="shared" si="16"/>
        <v>76.224508618705187</v>
      </c>
      <c r="J53" s="763" t="s">
        <v>505</v>
      </c>
      <c r="K53" s="763"/>
      <c r="L53" s="763"/>
      <c r="M53" s="763"/>
      <c r="N53" s="763"/>
      <c r="O53" s="763"/>
      <c r="P53" s="763"/>
      <c r="Q53" s="764"/>
      <c r="R53" s="71" t="s">
        <v>136</v>
      </c>
    </row>
    <row r="54" spans="5:18" x14ac:dyDescent="0.25">
      <c r="E54" s="784"/>
      <c r="F54" s="53">
        <v>807</v>
      </c>
      <c r="G54" s="54">
        <f t="shared" si="17"/>
        <v>44135</v>
      </c>
      <c r="H54" s="213">
        <v>50000</v>
      </c>
      <c r="I54" s="70">
        <f t="shared" ref="I54:I63" si="18">H54/$E$48</f>
        <v>76.224508618705187</v>
      </c>
      <c r="J54" s="763" t="s">
        <v>506</v>
      </c>
      <c r="K54" s="763"/>
      <c r="L54" s="763"/>
      <c r="M54" s="763"/>
      <c r="N54" s="763"/>
      <c r="O54" s="763"/>
      <c r="P54" s="763"/>
      <c r="Q54" s="764"/>
      <c r="R54" s="71" t="s">
        <v>136</v>
      </c>
    </row>
    <row r="55" spans="5:18" x14ac:dyDescent="0.25">
      <c r="E55" s="784"/>
      <c r="F55" s="53">
        <v>808</v>
      </c>
      <c r="G55" s="54">
        <f t="shared" si="17"/>
        <v>44135</v>
      </c>
      <c r="H55" s="213">
        <v>50000</v>
      </c>
      <c r="I55" s="70">
        <f t="shared" si="18"/>
        <v>76.224508618705187</v>
      </c>
      <c r="J55" s="763" t="s">
        <v>507</v>
      </c>
      <c r="K55" s="763"/>
      <c r="L55" s="763"/>
      <c r="M55" s="763"/>
      <c r="N55" s="763"/>
      <c r="O55" s="763"/>
      <c r="P55" s="763"/>
      <c r="Q55" s="764"/>
      <c r="R55" s="71" t="s">
        <v>136</v>
      </c>
    </row>
    <row r="56" spans="5:18" x14ac:dyDescent="0.25">
      <c r="E56" s="784"/>
      <c r="F56" s="53">
        <v>809</v>
      </c>
      <c r="G56" s="54">
        <f t="shared" si="17"/>
        <v>44135</v>
      </c>
      <c r="H56" s="213">
        <v>50000</v>
      </c>
      <c r="I56" s="70">
        <f t="shared" si="18"/>
        <v>76.224508618705187</v>
      </c>
      <c r="J56" s="763" t="s">
        <v>508</v>
      </c>
      <c r="K56" s="763"/>
      <c r="L56" s="763"/>
      <c r="M56" s="763"/>
      <c r="N56" s="763"/>
      <c r="O56" s="763"/>
      <c r="P56" s="763"/>
      <c r="Q56" s="764"/>
      <c r="R56" s="71" t="s">
        <v>136</v>
      </c>
    </row>
    <row r="57" spans="5:18" x14ac:dyDescent="0.25">
      <c r="E57" s="784"/>
      <c r="F57" s="53">
        <v>810</v>
      </c>
      <c r="G57" s="54">
        <f t="shared" si="17"/>
        <v>44135</v>
      </c>
      <c r="H57" s="213">
        <v>50000</v>
      </c>
      <c r="I57" s="70">
        <f t="shared" si="18"/>
        <v>76.224508618705187</v>
      </c>
      <c r="J57" s="763" t="s">
        <v>509</v>
      </c>
      <c r="K57" s="763"/>
      <c r="L57" s="763"/>
      <c r="M57" s="763"/>
      <c r="N57" s="763"/>
      <c r="O57" s="763"/>
      <c r="P57" s="763"/>
      <c r="Q57" s="764"/>
      <c r="R57" s="71" t="s">
        <v>136</v>
      </c>
    </row>
    <row r="58" spans="5:18" x14ac:dyDescent="0.25">
      <c r="E58" s="784"/>
      <c r="F58" s="53">
        <v>811</v>
      </c>
      <c r="G58" s="54">
        <f t="shared" si="17"/>
        <v>44135</v>
      </c>
      <c r="H58" s="213">
        <v>50000</v>
      </c>
      <c r="I58" s="70">
        <f t="shared" si="18"/>
        <v>76.224508618705187</v>
      </c>
      <c r="J58" s="763" t="s">
        <v>510</v>
      </c>
      <c r="K58" s="763"/>
      <c r="L58" s="763"/>
      <c r="M58" s="763"/>
      <c r="N58" s="763"/>
      <c r="O58" s="763"/>
      <c r="P58" s="763"/>
      <c r="Q58" s="764"/>
      <c r="R58" s="71" t="s">
        <v>136</v>
      </c>
    </row>
    <row r="59" spans="5:18" x14ac:dyDescent="0.25">
      <c r="E59" s="784"/>
      <c r="F59" s="53">
        <v>812</v>
      </c>
      <c r="G59" s="54">
        <f t="shared" si="17"/>
        <v>44135</v>
      </c>
      <c r="H59" s="213">
        <v>50000</v>
      </c>
      <c r="I59" s="70">
        <f t="shared" si="18"/>
        <v>76.224508618705187</v>
      </c>
      <c r="J59" s="763" t="s">
        <v>511</v>
      </c>
      <c r="K59" s="763"/>
      <c r="L59" s="763"/>
      <c r="M59" s="763"/>
      <c r="N59" s="763"/>
      <c r="O59" s="763"/>
      <c r="P59" s="763"/>
      <c r="Q59" s="764"/>
      <c r="R59" s="71" t="s">
        <v>136</v>
      </c>
    </row>
    <row r="60" spans="5:18" x14ac:dyDescent="0.25">
      <c r="E60" s="784"/>
      <c r="F60" s="53">
        <v>813</v>
      </c>
      <c r="G60" s="54">
        <f t="shared" si="17"/>
        <v>44135</v>
      </c>
      <c r="H60" s="213">
        <v>50000</v>
      </c>
      <c r="I60" s="70">
        <f t="shared" si="18"/>
        <v>76.224508618705187</v>
      </c>
      <c r="J60" s="763" t="s">
        <v>512</v>
      </c>
      <c r="K60" s="763"/>
      <c r="L60" s="763"/>
      <c r="M60" s="763"/>
      <c r="N60" s="763"/>
      <c r="O60" s="763"/>
      <c r="P60" s="763"/>
      <c r="Q60" s="764"/>
      <c r="R60" s="71" t="s">
        <v>136</v>
      </c>
    </row>
    <row r="61" spans="5:18" x14ac:dyDescent="0.25">
      <c r="E61" s="784"/>
      <c r="F61" s="53">
        <v>814</v>
      </c>
      <c r="G61" s="54">
        <f t="shared" si="17"/>
        <v>44135</v>
      </c>
      <c r="H61" s="213">
        <v>50000</v>
      </c>
      <c r="I61" s="70">
        <f t="shared" si="18"/>
        <v>76.224508618705187</v>
      </c>
      <c r="J61" s="763" t="s">
        <v>513</v>
      </c>
      <c r="K61" s="763"/>
      <c r="L61" s="763"/>
      <c r="M61" s="763"/>
      <c r="N61" s="763"/>
      <c r="O61" s="763"/>
      <c r="P61" s="763"/>
      <c r="Q61" s="764"/>
      <c r="R61" s="71" t="s">
        <v>136</v>
      </c>
    </row>
    <row r="62" spans="5:18" x14ac:dyDescent="0.25">
      <c r="E62" s="784"/>
      <c r="F62" s="53">
        <v>815</v>
      </c>
      <c r="G62" s="54">
        <f t="shared" si="17"/>
        <v>44135</v>
      </c>
      <c r="H62" s="213">
        <v>50000</v>
      </c>
      <c r="I62" s="70">
        <f t="shared" si="18"/>
        <v>76.224508618705187</v>
      </c>
      <c r="J62" s="763" t="s">
        <v>514</v>
      </c>
      <c r="K62" s="763"/>
      <c r="L62" s="763"/>
      <c r="M62" s="763"/>
      <c r="N62" s="763"/>
      <c r="O62" s="763"/>
      <c r="P62" s="763"/>
      <c r="Q62" s="764"/>
      <c r="R62" s="71" t="s">
        <v>136</v>
      </c>
    </row>
    <row r="63" spans="5:18" x14ac:dyDescent="0.25">
      <c r="E63" s="784"/>
      <c r="F63" s="53">
        <v>816</v>
      </c>
      <c r="G63" s="54">
        <f t="shared" si="17"/>
        <v>44135</v>
      </c>
      <c r="H63" s="213">
        <v>50000</v>
      </c>
      <c r="I63" s="70">
        <f t="shared" si="18"/>
        <v>76.224508618705187</v>
      </c>
      <c r="J63" s="763" t="s">
        <v>515</v>
      </c>
      <c r="K63" s="763"/>
      <c r="L63" s="763"/>
      <c r="M63" s="763"/>
      <c r="N63" s="763"/>
      <c r="O63" s="763"/>
      <c r="P63" s="763"/>
      <c r="Q63" s="764"/>
      <c r="R63" s="71" t="s">
        <v>136</v>
      </c>
    </row>
    <row r="64" spans="5:18" x14ac:dyDescent="0.25">
      <c r="E64" s="784"/>
      <c r="F64" s="53">
        <v>805</v>
      </c>
      <c r="G64" s="54">
        <f t="shared" si="17"/>
        <v>44135</v>
      </c>
      <c r="H64" s="213">
        <v>50000</v>
      </c>
      <c r="I64" s="70">
        <f t="shared" ref="I64:I84" si="19">H64/$E$48</f>
        <v>76.224508618705187</v>
      </c>
      <c r="J64" s="763" t="s">
        <v>516</v>
      </c>
      <c r="K64" s="763"/>
      <c r="L64" s="763"/>
      <c r="M64" s="763"/>
      <c r="N64" s="763"/>
      <c r="O64" s="763"/>
      <c r="P64" s="763"/>
      <c r="Q64" s="764"/>
      <c r="R64" s="71" t="s">
        <v>136</v>
      </c>
    </row>
    <row r="65" spans="5:18" x14ac:dyDescent="0.25">
      <c r="E65" s="784"/>
      <c r="F65" s="53">
        <v>818</v>
      </c>
      <c r="G65" s="54">
        <f t="shared" si="17"/>
        <v>44135</v>
      </c>
      <c r="H65" s="213">
        <v>50000</v>
      </c>
      <c r="I65" s="70">
        <f t="shared" si="19"/>
        <v>76.224508618705187</v>
      </c>
      <c r="J65" s="763" t="s">
        <v>517</v>
      </c>
      <c r="K65" s="763"/>
      <c r="L65" s="763"/>
      <c r="M65" s="763"/>
      <c r="N65" s="763"/>
      <c r="O65" s="763"/>
      <c r="P65" s="763"/>
      <c r="Q65" s="764"/>
      <c r="R65" s="71" t="s">
        <v>136</v>
      </c>
    </row>
    <row r="66" spans="5:18" x14ac:dyDescent="0.25">
      <c r="E66" s="784"/>
      <c r="F66" s="53">
        <v>819</v>
      </c>
      <c r="G66" s="54">
        <f t="shared" si="17"/>
        <v>44135</v>
      </c>
      <c r="H66" s="213">
        <v>50000</v>
      </c>
      <c r="I66" s="70">
        <f t="shared" si="19"/>
        <v>76.224508618705187</v>
      </c>
      <c r="J66" s="763" t="s">
        <v>518</v>
      </c>
      <c r="K66" s="763"/>
      <c r="L66" s="763"/>
      <c r="M66" s="763"/>
      <c r="N66" s="763"/>
      <c r="O66" s="763"/>
      <c r="P66" s="763"/>
      <c r="Q66" s="764"/>
      <c r="R66" s="71" t="s">
        <v>136</v>
      </c>
    </row>
    <row r="67" spans="5:18" x14ac:dyDescent="0.25">
      <c r="E67" s="784"/>
      <c r="F67" s="53">
        <v>820</v>
      </c>
      <c r="G67" s="54">
        <f t="shared" si="17"/>
        <v>44135</v>
      </c>
      <c r="H67" s="213">
        <v>50000</v>
      </c>
      <c r="I67" s="70">
        <f t="shared" si="19"/>
        <v>76.224508618705187</v>
      </c>
      <c r="J67" s="763" t="s">
        <v>519</v>
      </c>
      <c r="K67" s="763"/>
      <c r="L67" s="763"/>
      <c r="M67" s="763"/>
      <c r="N67" s="763"/>
      <c r="O67" s="763"/>
      <c r="P67" s="763"/>
      <c r="Q67" s="764"/>
      <c r="R67" s="71" t="s">
        <v>136</v>
      </c>
    </row>
    <row r="68" spans="5:18" x14ac:dyDescent="0.25">
      <c r="E68" s="784"/>
      <c r="F68" s="53">
        <v>821</v>
      </c>
      <c r="G68" s="54">
        <f t="shared" si="17"/>
        <v>44135</v>
      </c>
      <c r="H68" s="213">
        <v>60000</v>
      </c>
      <c r="I68" s="70">
        <f t="shared" si="19"/>
        <v>91.469410342446224</v>
      </c>
      <c r="J68" s="763" t="s">
        <v>520</v>
      </c>
      <c r="K68" s="763"/>
      <c r="L68" s="763"/>
      <c r="M68" s="763"/>
      <c r="N68" s="763"/>
      <c r="O68" s="763"/>
      <c r="P68" s="763"/>
      <c r="Q68" s="764"/>
      <c r="R68" s="71" t="s">
        <v>136</v>
      </c>
    </row>
    <row r="69" spans="5:18" x14ac:dyDescent="0.25">
      <c r="E69" s="784"/>
      <c r="F69" s="53">
        <v>822</v>
      </c>
      <c r="G69" s="54">
        <f t="shared" si="17"/>
        <v>44135</v>
      </c>
      <c r="H69" s="213">
        <v>60000</v>
      </c>
      <c r="I69" s="70">
        <f t="shared" si="19"/>
        <v>91.469410342446224</v>
      </c>
      <c r="J69" s="763" t="s">
        <v>521</v>
      </c>
      <c r="K69" s="763"/>
      <c r="L69" s="763"/>
      <c r="M69" s="763"/>
      <c r="N69" s="763"/>
      <c r="O69" s="763"/>
      <c r="P69" s="763"/>
      <c r="Q69" s="764"/>
      <c r="R69" s="71" t="s">
        <v>136</v>
      </c>
    </row>
    <row r="70" spans="5:18" x14ac:dyDescent="0.25">
      <c r="E70" s="784"/>
      <c r="F70" s="53">
        <v>27</v>
      </c>
      <c r="G70" s="54">
        <v>44106</v>
      </c>
      <c r="H70" s="213">
        <v>5000</v>
      </c>
      <c r="I70" s="70">
        <f t="shared" si="19"/>
        <v>7.6224508618705187</v>
      </c>
      <c r="J70" s="763" t="s">
        <v>524</v>
      </c>
      <c r="K70" s="763"/>
      <c r="L70" s="763"/>
      <c r="M70" s="763"/>
      <c r="N70" s="763"/>
      <c r="O70" s="763"/>
      <c r="P70" s="763"/>
      <c r="Q70" s="764"/>
      <c r="R70" s="71" t="s">
        <v>136</v>
      </c>
    </row>
    <row r="71" spans="5:18" x14ac:dyDescent="0.25">
      <c r="E71" s="784"/>
      <c r="F71" s="53">
        <v>126848</v>
      </c>
      <c r="G71" s="54">
        <v>44111</v>
      </c>
      <c r="H71" s="213">
        <v>5000</v>
      </c>
      <c r="I71" s="70">
        <f t="shared" si="19"/>
        <v>7.6224508618705187</v>
      </c>
      <c r="J71" s="763" t="s">
        <v>532</v>
      </c>
      <c r="K71" s="763"/>
      <c r="L71" s="763"/>
      <c r="M71" s="763"/>
      <c r="N71" s="763"/>
      <c r="O71" s="763"/>
      <c r="P71" s="763"/>
      <c r="Q71" s="764"/>
      <c r="R71" s="71" t="s">
        <v>136</v>
      </c>
    </row>
    <row r="72" spans="5:18" x14ac:dyDescent="0.25">
      <c r="E72" s="784"/>
      <c r="F72" s="53">
        <v>403</v>
      </c>
      <c r="G72" s="54">
        <v>44111</v>
      </c>
      <c r="H72" s="213">
        <v>244000</v>
      </c>
      <c r="I72" s="70">
        <f t="shared" si="19"/>
        <v>371.9756020592813</v>
      </c>
      <c r="J72" s="763" t="s">
        <v>535</v>
      </c>
      <c r="K72" s="763"/>
      <c r="L72" s="763"/>
      <c r="M72" s="763"/>
      <c r="N72" s="763"/>
      <c r="O72" s="763"/>
      <c r="P72" s="763"/>
      <c r="Q72" s="764"/>
      <c r="R72" s="71" t="s">
        <v>136</v>
      </c>
    </row>
    <row r="73" spans="5:18" x14ac:dyDescent="0.25">
      <c r="E73" s="784"/>
      <c r="F73" s="53">
        <v>3215</v>
      </c>
      <c r="G73" s="54">
        <v>44117</v>
      </c>
      <c r="H73" s="213">
        <v>5000</v>
      </c>
      <c r="I73" s="70">
        <f t="shared" si="19"/>
        <v>7.6224508618705187</v>
      </c>
      <c r="J73" s="763" t="s">
        <v>532</v>
      </c>
      <c r="K73" s="763"/>
      <c r="L73" s="763"/>
      <c r="M73" s="763"/>
      <c r="N73" s="763"/>
      <c r="O73" s="763"/>
      <c r="P73" s="763"/>
      <c r="Q73" s="764"/>
      <c r="R73" s="71" t="s">
        <v>136</v>
      </c>
    </row>
    <row r="74" spans="5:18" x14ac:dyDescent="0.25">
      <c r="E74" s="784"/>
      <c r="F74" s="53">
        <v>264</v>
      </c>
      <c r="G74" s="54">
        <v>44123</v>
      </c>
      <c r="H74" s="213">
        <v>5000</v>
      </c>
      <c r="I74" s="70">
        <f t="shared" si="19"/>
        <v>7.6224508618705187</v>
      </c>
      <c r="J74" s="763" t="s">
        <v>524</v>
      </c>
      <c r="K74" s="763"/>
      <c r="L74" s="763"/>
      <c r="M74" s="763"/>
      <c r="N74" s="763"/>
      <c r="O74" s="763"/>
      <c r="P74" s="763"/>
      <c r="Q74" s="764"/>
      <c r="R74" s="71" t="s">
        <v>136</v>
      </c>
    </row>
    <row r="75" spans="5:18" x14ac:dyDescent="0.25">
      <c r="E75" s="784"/>
      <c r="F75" s="53">
        <v>260</v>
      </c>
      <c r="G75" s="54">
        <v>44124</v>
      </c>
      <c r="H75" s="213">
        <v>5000</v>
      </c>
      <c r="I75" s="70">
        <f t="shared" si="19"/>
        <v>7.6224508618705187</v>
      </c>
      <c r="J75" s="763" t="s">
        <v>524</v>
      </c>
      <c r="K75" s="763"/>
      <c r="L75" s="763"/>
      <c r="M75" s="763"/>
      <c r="N75" s="763"/>
      <c r="O75" s="763"/>
      <c r="P75" s="763"/>
      <c r="Q75" s="764"/>
      <c r="R75" s="71" t="s">
        <v>136</v>
      </c>
    </row>
    <row r="76" spans="5:18" x14ac:dyDescent="0.25">
      <c r="E76" s="784"/>
      <c r="F76" s="53">
        <v>262</v>
      </c>
      <c r="G76" s="54">
        <v>44126</v>
      </c>
      <c r="H76" s="213">
        <v>5000</v>
      </c>
      <c r="I76" s="70">
        <f t="shared" si="19"/>
        <v>7.6224508618705187</v>
      </c>
      <c r="J76" s="763" t="s">
        <v>524</v>
      </c>
      <c r="K76" s="763"/>
      <c r="L76" s="763"/>
      <c r="M76" s="763"/>
      <c r="N76" s="763"/>
      <c r="O76" s="763"/>
      <c r="P76" s="763"/>
      <c r="Q76" s="764"/>
      <c r="R76" s="71" t="s">
        <v>136</v>
      </c>
    </row>
    <row r="77" spans="5:18" x14ac:dyDescent="0.25">
      <c r="E77" s="784"/>
      <c r="F77" s="53">
        <v>1079</v>
      </c>
      <c r="G77" s="54">
        <v>44126</v>
      </c>
      <c r="H77" s="213">
        <v>16000</v>
      </c>
      <c r="I77" s="70">
        <f t="shared" si="19"/>
        <v>24.39184275798566</v>
      </c>
      <c r="J77" s="763" t="s">
        <v>561</v>
      </c>
      <c r="K77" s="763"/>
      <c r="L77" s="763"/>
      <c r="M77" s="763"/>
      <c r="N77" s="763"/>
      <c r="O77" s="763"/>
      <c r="P77" s="763"/>
      <c r="Q77" s="764"/>
      <c r="R77" s="71" t="s">
        <v>136</v>
      </c>
    </row>
    <row r="78" spans="5:18" x14ac:dyDescent="0.25">
      <c r="E78" s="784"/>
      <c r="F78" s="53">
        <v>265</v>
      </c>
      <c r="G78" s="54">
        <v>44127</v>
      </c>
      <c r="H78" s="213">
        <v>5000</v>
      </c>
      <c r="I78" s="70">
        <f t="shared" si="19"/>
        <v>7.6224508618705187</v>
      </c>
      <c r="J78" s="763" t="s">
        <v>564</v>
      </c>
      <c r="K78" s="763"/>
      <c r="L78" s="763"/>
      <c r="M78" s="763"/>
      <c r="N78" s="763"/>
      <c r="O78" s="763"/>
      <c r="P78" s="763"/>
      <c r="Q78" s="764"/>
      <c r="R78" s="71" t="s">
        <v>136</v>
      </c>
    </row>
    <row r="79" spans="5:18" x14ac:dyDescent="0.25">
      <c r="E79" s="784"/>
      <c r="F79" s="53">
        <v>3001</v>
      </c>
      <c r="G79" s="54">
        <v>44132</v>
      </c>
      <c r="H79" s="213">
        <v>5000</v>
      </c>
      <c r="I79" s="70">
        <f t="shared" si="19"/>
        <v>7.6224508618705187</v>
      </c>
      <c r="J79" s="763" t="s">
        <v>532</v>
      </c>
      <c r="K79" s="763"/>
      <c r="L79" s="763"/>
      <c r="M79" s="763"/>
      <c r="N79" s="763"/>
      <c r="O79" s="763"/>
      <c r="P79" s="763"/>
      <c r="Q79" s="764"/>
      <c r="R79" s="71" t="s">
        <v>136</v>
      </c>
    </row>
    <row r="80" spans="5:18" x14ac:dyDescent="0.25">
      <c r="E80" s="784"/>
      <c r="F80" s="53">
        <v>310</v>
      </c>
      <c r="G80" s="54">
        <v>44109</v>
      </c>
      <c r="H80" s="213">
        <v>15000</v>
      </c>
      <c r="I80" s="70">
        <f t="shared" si="19"/>
        <v>22.867352585611556</v>
      </c>
      <c r="J80" s="763" t="s">
        <v>588</v>
      </c>
      <c r="K80" s="763"/>
      <c r="L80" s="763"/>
      <c r="M80" s="763"/>
      <c r="N80" s="763"/>
      <c r="O80" s="763"/>
      <c r="P80" s="763"/>
      <c r="Q80" s="764"/>
      <c r="R80" s="71" t="s">
        <v>136</v>
      </c>
    </row>
    <row r="81" spans="5:18" x14ac:dyDescent="0.25">
      <c r="E81" s="784"/>
      <c r="F81" s="53">
        <v>326</v>
      </c>
      <c r="G81" s="54">
        <v>44109</v>
      </c>
      <c r="H81" s="213">
        <v>15000</v>
      </c>
      <c r="I81" s="70">
        <f t="shared" si="19"/>
        <v>22.867352585611556</v>
      </c>
      <c r="J81" s="763" t="s">
        <v>597</v>
      </c>
      <c r="K81" s="763"/>
      <c r="L81" s="763"/>
      <c r="M81" s="763"/>
      <c r="N81" s="763"/>
      <c r="O81" s="763"/>
      <c r="P81" s="763"/>
      <c r="Q81" s="764"/>
      <c r="R81" s="71" t="s">
        <v>136</v>
      </c>
    </row>
    <row r="82" spans="5:18" x14ac:dyDescent="0.25">
      <c r="E82" s="784"/>
      <c r="F82" s="53">
        <v>20201310</v>
      </c>
      <c r="G82" s="54">
        <v>44117</v>
      </c>
      <c r="H82" s="213">
        <v>131600</v>
      </c>
      <c r="I82" s="70">
        <f t="shared" ref="I82:I83" si="20">H82/$E$48</f>
        <v>200.62290668443205</v>
      </c>
      <c r="J82" s="763" t="s">
        <v>599</v>
      </c>
      <c r="K82" s="763"/>
      <c r="L82" s="763"/>
      <c r="M82" s="763"/>
      <c r="N82" s="763"/>
      <c r="O82" s="763"/>
      <c r="P82" s="763"/>
      <c r="Q82" s="764"/>
      <c r="R82" s="71" t="s">
        <v>136</v>
      </c>
    </row>
    <row r="83" spans="5:18" x14ac:dyDescent="0.25">
      <c r="E83" s="784"/>
      <c r="F83" s="53"/>
      <c r="G83" s="54"/>
      <c r="H83" s="213"/>
      <c r="I83" s="70">
        <f t="shared" si="20"/>
        <v>0</v>
      </c>
      <c r="J83" s="765"/>
      <c r="K83" s="765"/>
      <c r="L83" s="765"/>
      <c r="M83" s="765"/>
      <c r="N83" s="765"/>
      <c r="O83" s="765"/>
      <c r="P83" s="765"/>
      <c r="Q83" s="766"/>
      <c r="R83" s="71"/>
    </row>
    <row r="84" spans="5:18" x14ac:dyDescent="0.25">
      <c r="E84" s="784"/>
      <c r="F84" s="53"/>
      <c r="G84" s="54"/>
      <c r="H84" s="214"/>
      <c r="I84" s="70">
        <f t="shared" si="19"/>
        <v>0</v>
      </c>
      <c r="J84" s="765"/>
      <c r="K84" s="765"/>
      <c r="L84" s="765"/>
      <c r="M84" s="765"/>
      <c r="N84" s="765"/>
      <c r="O84" s="765"/>
      <c r="P84" s="765"/>
      <c r="Q84" s="766"/>
      <c r="R84" s="71"/>
    </row>
    <row r="85" spans="5:18" ht="15.75" thickBot="1" x14ac:dyDescent="0.3">
      <c r="E85" s="784"/>
      <c r="F85" s="98"/>
      <c r="G85" s="457"/>
      <c r="H85" s="99"/>
      <c r="I85" s="70">
        <f t="shared" si="16"/>
        <v>0</v>
      </c>
      <c r="J85" s="823"/>
      <c r="K85" s="755"/>
      <c r="L85" s="755"/>
      <c r="M85" s="755"/>
      <c r="N85" s="755"/>
      <c r="O85" s="755"/>
      <c r="P85" s="755"/>
      <c r="Q85" s="756"/>
      <c r="R85" s="94"/>
    </row>
    <row r="86" spans="5:18" ht="15.75" thickBot="1" x14ac:dyDescent="0.3">
      <c r="E86" s="64"/>
      <c r="F86" s="736" t="s">
        <v>56</v>
      </c>
      <c r="G86" s="737"/>
      <c r="H86" s="84">
        <f>SUM(H48:H85)</f>
        <v>1581600</v>
      </c>
      <c r="I86" s="191">
        <f>SUM(I48:I85)</f>
        <v>2411.1336566268833</v>
      </c>
      <c r="J86" s="813"/>
      <c r="K86" s="738"/>
      <c r="L86" s="738"/>
      <c r="M86" s="738"/>
      <c r="N86" s="738"/>
      <c r="O86" s="738"/>
      <c r="P86" s="738"/>
      <c r="Q86" s="739"/>
      <c r="R86" s="66"/>
    </row>
    <row r="87" spans="5:18" ht="15.75" thickBot="1" x14ac:dyDescent="0.3">
      <c r="E87" s="100"/>
      <c r="F87" s="101" t="s">
        <v>53</v>
      </c>
      <c r="G87" s="102"/>
      <c r="H87" s="103">
        <f>SUM(H86,H47,H37,H29)</f>
        <v>4102100</v>
      </c>
      <c r="I87" s="103">
        <f>SUM(I86,I47,I37,I29)</f>
        <v>6253.6111360958112</v>
      </c>
      <c r="J87" s="817"/>
      <c r="K87" s="818"/>
      <c r="L87" s="818"/>
      <c r="M87" s="818"/>
      <c r="N87" s="818"/>
      <c r="O87" s="818"/>
      <c r="P87" s="818"/>
      <c r="Q87" s="819"/>
      <c r="R87" s="104"/>
    </row>
  </sheetData>
  <mergeCells count="88">
    <mergeCell ref="E31:E36"/>
    <mergeCell ref="F86:G86"/>
    <mergeCell ref="J86:Q86"/>
    <mergeCell ref="J87:Q87"/>
    <mergeCell ref="J52:Q52"/>
    <mergeCell ref="J53:Q53"/>
    <mergeCell ref="E49:E85"/>
    <mergeCell ref="J85:Q85"/>
    <mergeCell ref="J48:Q48"/>
    <mergeCell ref="J49:Q49"/>
    <mergeCell ref="J50:Q50"/>
    <mergeCell ref="J51:Q51"/>
    <mergeCell ref="E39:E46"/>
    <mergeCell ref="J45:Q45"/>
    <mergeCell ref="J46:Q46"/>
    <mergeCell ref="J40:Q40"/>
    <mergeCell ref="J41:Q41"/>
    <mergeCell ref="J42:Q42"/>
    <mergeCell ref="J43:Q43"/>
    <mergeCell ref="J44:Q44"/>
    <mergeCell ref="J38:Q38"/>
    <mergeCell ref="J39:Q39"/>
    <mergeCell ref="J34:Q34"/>
    <mergeCell ref="J35:Q35"/>
    <mergeCell ref="J36:Q36"/>
    <mergeCell ref="J30:Q30"/>
    <mergeCell ref="J31:Q31"/>
    <mergeCell ref="J32:Q32"/>
    <mergeCell ref="J33:Q33"/>
    <mergeCell ref="F29:G29"/>
    <mergeCell ref="J29:Q29"/>
    <mergeCell ref="J18:Q18"/>
    <mergeCell ref="J24:Q24"/>
    <mergeCell ref="E20:E28"/>
    <mergeCell ref="J19:Q19"/>
    <mergeCell ref="J21:Q21"/>
    <mergeCell ref="J23:Q23"/>
    <mergeCell ref="J20:Q20"/>
    <mergeCell ref="J22:Q22"/>
    <mergeCell ref="J25:Q25"/>
    <mergeCell ref="J26:Q26"/>
    <mergeCell ref="J27:Q27"/>
    <mergeCell ref="J28:Q28"/>
    <mergeCell ref="E17:R17"/>
    <mergeCell ref="B3:B4"/>
    <mergeCell ref="C3:C4"/>
    <mergeCell ref="D3:D4"/>
    <mergeCell ref="E3:G3"/>
    <mergeCell ref="H3:J3"/>
    <mergeCell ref="K3:M3"/>
    <mergeCell ref="C8:C10"/>
    <mergeCell ref="B8:B10"/>
    <mergeCell ref="N3:P3"/>
    <mergeCell ref="Q3:S3"/>
    <mergeCell ref="B5:D5"/>
    <mergeCell ref="E5:S5"/>
    <mergeCell ref="B14:D14"/>
    <mergeCell ref="J57:Q57"/>
    <mergeCell ref="J58:Q58"/>
    <mergeCell ref="J54:Q54"/>
    <mergeCell ref="J55:Q55"/>
    <mergeCell ref="J56:Q56"/>
    <mergeCell ref="J59:Q59"/>
    <mergeCell ref="J60:Q60"/>
    <mergeCell ref="J61:Q61"/>
    <mergeCell ref="J62:Q62"/>
    <mergeCell ref="J63:Q63"/>
    <mergeCell ref="J64:Q64"/>
    <mergeCell ref="J65:Q65"/>
    <mergeCell ref="J66:Q66"/>
    <mergeCell ref="J84:Q84"/>
    <mergeCell ref="J67:Q67"/>
    <mergeCell ref="J68:Q68"/>
    <mergeCell ref="J69:Q69"/>
    <mergeCell ref="J70:Q70"/>
    <mergeCell ref="J71:Q71"/>
    <mergeCell ref="J72:Q72"/>
    <mergeCell ref="J73:Q73"/>
    <mergeCell ref="J74:Q74"/>
    <mergeCell ref="J75:Q75"/>
    <mergeCell ref="J76:Q76"/>
    <mergeCell ref="J77:Q77"/>
    <mergeCell ref="J78:Q78"/>
    <mergeCell ref="J79:Q79"/>
    <mergeCell ref="J80:Q80"/>
    <mergeCell ref="J81:Q81"/>
    <mergeCell ref="J82:Q82"/>
    <mergeCell ref="J83:Q83"/>
  </mergeCells>
  <dataValidations count="1">
    <dataValidation type="list" allowBlank="1" showInputMessage="1" showErrorMessage="1" sqref="R19:R87" xr:uid="{00000000-0002-0000-0400-000000000000}">
      <formula1>$E$16:$J$16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118"/>
  <sheetViews>
    <sheetView topLeftCell="D97" zoomScale="90" zoomScaleNormal="90" workbookViewId="0">
      <selection activeCell="J90" sqref="J90:Q90"/>
    </sheetView>
  </sheetViews>
  <sheetFormatPr baseColWidth="10" defaultColWidth="11.42578125" defaultRowHeight="15" x14ac:dyDescent="0.25"/>
  <cols>
    <col min="1" max="2" width="11.42578125" style="2"/>
    <col min="3" max="3" width="22.28515625" style="2" customWidth="1"/>
    <col min="4" max="4" width="11.42578125" style="2"/>
    <col min="5" max="5" width="12.140625" style="2" customWidth="1"/>
    <col min="6" max="6" width="13.42578125" style="2" customWidth="1"/>
    <col min="7" max="7" width="11.85546875" style="2" customWidth="1"/>
    <col min="8" max="8" width="17" style="2" customWidth="1"/>
    <col min="9" max="9" width="15.140625" style="2" customWidth="1"/>
    <col min="10" max="10" width="12.85546875" style="2" customWidth="1"/>
    <col min="11" max="11" width="13.28515625" style="2" customWidth="1"/>
    <col min="12" max="12" width="11.42578125" style="2"/>
    <col min="13" max="13" width="13.28515625" style="2" customWidth="1"/>
    <col min="14" max="14" width="13.42578125" style="2" customWidth="1"/>
    <col min="15" max="15" width="11.42578125" style="2"/>
    <col min="16" max="16" width="12.42578125" style="2" customWidth="1"/>
    <col min="17" max="17" width="13" style="2" customWidth="1"/>
    <col min="18" max="18" width="12.7109375" style="2" customWidth="1"/>
    <col min="19" max="19" width="13.28515625" style="2" customWidth="1"/>
    <col min="20" max="16384" width="11.42578125" style="2"/>
  </cols>
  <sheetData>
    <row r="2" spans="2:19" ht="14.45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 x14ac:dyDescent="0.3">
      <c r="B5" s="699" t="s">
        <v>126</v>
      </c>
      <c r="C5" s="700"/>
      <c r="D5" s="701"/>
      <c r="E5" s="686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8"/>
    </row>
    <row r="6" spans="2:19" ht="33" customHeight="1" x14ac:dyDescent="0.25">
      <c r="B6" s="115" t="s">
        <v>33</v>
      </c>
      <c r="C6" s="169" t="s">
        <v>96</v>
      </c>
      <c r="D6" s="134"/>
      <c r="E6" s="117">
        <v>1600.72</v>
      </c>
      <c r="F6" s="118">
        <f>I19+I20+I27+I28+I36+I38</f>
        <v>1520.2215998914564</v>
      </c>
      <c r="G6" s="108">
        <f t="shared" ref="G6:G9" si="0">E6-F6</f>
        <v>80.498400108543592</v>
      </c>
      <c r="H6" s="117">
        <v>1600.72</v>
      </c>
      <c r="I6" s="118">
        <f>I47+I50+I56+I59+I65+I67</f>
        <v>1520.2215998914564</v>
      </c>
      <c r="J6" s="108">
        <f t="shared" ref="J6:J9" si="1">H6-I6</f>
        <v>80.498400108543592</v>
      </c>
      <c r="K6" s="117">
        <v>1600.71</v>
      </c>
      <c r="L6" s="118">
        <f>I77+I79+I86+I88+I95+I97</f>
        <v>1520.2215998914564</v>
      </c>
      <c r="M6" s="108">
        <f t="shared" ref="M6:M9" si="2">K6-L6</f>
        <v>80.488400108543601</v>
      </c>
      <c r="N6" s="117">
        <v>1600.71</v>
      </c>
      <c r="O6" s="118">
        <f>I108+I110</f>
        <v>506.74053329715213</v>
      </c>
      <c r="P6" s="109">
        <f t="shared" ref="P6:P9" si="3">N6-O6</f>
        <v>1093.969466702848</v>
      </c>
      <c r="Q6" s="110">
        <f t="shared" ref="Q6:R10" si="4">N6+K6+H6+E6</f>
        <v>6402.8600000000006</v>
      </c>
      <c r="R6" s="111">
        <f t="shared" si="4"/>
        <v>5067.4053329715216</v>
      </c>
      <c r="S6" s="112">
        <f t="shared" ref="S6:S10" si="5">Q6-R6</f>
        <v>1335.454667028479</v>
      </c>
    </row>
    <row r="7" spans="2:19" ht="33" customHeight="1" x14ac:dyDescent="0.25">
      <c r="B7" s="119" t="s">
        <v>34</v>
      </c>
      <c r="C7" s="169" t="s">
        <v>97</v>
      </c>
      <c r="D7" s="132"/>
      <c r="E7" s="136">
        <v>914.7</v>
      </c>
      <c r="F7" s="137">
        <f>I34</f>
        <v>457.34705171223112</v>
      </c>
      <c r="G7" s="24">
        <f t="shared" si="0"/>
        <v>457.35294828776892</v>
      </c>
      <c r="H7" s="136">
        <v>914.7</v>
      </c>
      <c r="I7" s="137">
        <f>I51+I60+I69</f>
        <v>1600.714680992809</v>
      </c>
      <c r="J7" s="24">
        <f t="shared" si="1"/>
        <v>-686.01468099280896</v>
      </c>
      <c r="K7" s="136">
        <v>914.69</v>
      </c>
      <c r="L7" s="137">
        <f>I81+I90+I99</f>
        <v>1600.714680992809</v>
      </c>
      <c r="M7" s="24">
        <f t="shared" si="2"/>
        <v>-686.02468099280895</v>
      </c>
      <c r="N7" s="136">
        <v>914.69</v>
      </c>
      <c r="O7" s="137">
        <f>I112</f>
        <v>0</v>
      </c>
      <c r="P7" s="25">
        <f t="shared" si="3"/>
        <v>914.69</v>
      </c>
      <c r="Q7" s="22">
        <f t="shared" si="4"/>
        <v>3658.7799999999997</v>
      </c>
      <c r="R7" s="23">
        <f t="shared" si="4"/>
        <v>3658.776413697849</v>
      </c>
      <c r="S7" s="26">
        <f t="shared" si="5"/>
        <v>3.5863021507793746E-3</v>
      </c>
    </row>
    <row r="8" spans="2:19" ht="36.75" customHeight="1" x14ac:dyDescent="0.25">
      <c r="B8" s="119" t="s">
        <v>35</v>
      </c>
      <c r="C8" s="169" t="s">
        <v>98</v>
      </c>
      <c r="D8" s="132"/>
      <c r="E8" s="136">
        <v>914.7</v>
      </c>
      <c r="F8" s="137">
        <f>I21+I22+I29+I30+I37+I39</f>
        <v>914.90448306824999</v>
      </c>
      <c r="G8" s="24">
        <f t="shared" si="0"/>
        <v>-0.20448306824994233</v>
      </c>
      <c r="H8" s="136">
        <v>914.7</v>
      </c>
      <c r="I8" s="137">
        <f>I48+I49+I58+I57+I66+I68</f>
        <v>914.90448306824999</v>
      </c>
      <c r="J8" s="24">
        <f t="shared" si="1"/>
        <v>-0.20448306824994233</v>
      </c>
      <c r="K8" s="136">
        <v>914.69</v>
      </c>
      <c r="L8" s="137">
        <f>I78+I80+I87+I89+I96+I98</f>
        <v>914.90448306824976</v>
      </c>
      <c r="M8" s="24">
        <f t="shared" si="2"/>
        <v>-0.21448306824970587</v>
      </c>
      <c r="N8" s="136">
        <v>914.69</v>
      </c>
      <c r="O8" s="137">
        <f>I109+I111</f>
        <v>304.96816102275</v>
      </c>
      <c r="P8" s="25">
        <f t="shared" si="3"/>
        <v>609.72183897725006</v>
      </c>
      <c r="Q8" s="22">
        <f t="shared" si="4"/>
        <v>3658.7799999999997</v>
      </c>
      <c r="R8" s="23">
        <f t="shared" si="4"/>
        <v>3049.6816102274997</v>
      </c>
      <c r="S8" s="26">
        <f t="shared" si="5"/>
        <v>609.09838977250001</v>
      </c>
    </row>
    <row r="9" spans="2:19" ht="24.75" customHeight="1" thickBot="1" x14ac:dyDescent="0.3">
      <c r="B9" s="119" t="s">
        <v>95</v>
      </c>
      <c r="C9" s="169" t="s">
        <v>99</v>
      </c>
      <c r="D9" s="132"/>
      <c r="E9" s="136">
        <v>3201.43</v>
      </c>
      <c r="F9" s="137">
        <f>I16+I17+I18+I23+I24+I25+I31+I32+I33+I35</f>
        <v>2934.6435818201498</v>
      </c>
      <c r="G9" s="24">
        <f t="shared" si="0"/>
        <v>266.78641817984999</v>
      </c>
      <c r="H9" s="136">
        <v>3201.43</v>
      </c>
      <c r="I9" s="137">
        <f>I43+I44+I45+I46+I52+I53+I54+I55+I61+I62+I63+I64</f>
        <v>3201.429361985618</v>
      </c>
      <c r="J9" s="24">
        <f t="shared" si="1"/>
        <v>6.3801438182053971E-4</v>
      </c>
      <c r="K9" s="136">
        <v>3201.43</v>
      </c>
      <c r="L9" s="137">
        <f>I73+I74+I75+I76+I82+I83+I84+I85+I91+I92+I93+I94</f>
        <v>3201.429361985618</v>
      </c>
      <c r="M9" s="24">
        <f t="shared" si="2"/>
        <v>6.3801438182053971E-4</v>
      </c>
      <c r="N9" s="136">
        <v>3201.43</v>
      </c>
      <c r="O9" s="137">
        <f>I104+I105+I106+I107</f>
        <v>1067.1431206618727</v>
      </c>
      <c r="P9" s="25">
        <f t="shared" si="3"/>
        <v>2134.2868793381272</v>
      </c>
      <c r="Q9" s="22">
        <f t="shared" si="4"/>
        <v>12805.72</v>
      </c>
      <c r="R9" s="23">
        <f t="shared" si="4"/>
        <v>10404.645426453259</v>
      </c>
      <c r="S9" s="26">
        <f t="shared" si="5"/>
        <v>2401.0745735467408</v>
      </c>
    </row>
    <row r="10" spans="2:19" ht="15.75" thickBot="1" x14ac:dyDescent="0.3">
      <c r="B10" s="674" t="s">
        <v>13</v>
      </c>
      <c r="C10" s="675"/>
      <c r="D10" s="676"/>
      <c r="E10" s="36">
        <f>SUM(E6:E9)</f>
        <v>6631.5499999999993</v>
      </c>
      <c r="F10" s="36">
        <f>SUM(F6:F9)</f>
        <v>5827.116716492088</v>
      </c>
      <c r="G10" s="37">
        <f t="shared" ref="G10" si="6">E10-F10</f>
        <v>804.43328350791126</v>
      </c>
      <c r="H10" s="36">
        <f>SUM(H6:H9)</f>
        <v>6631.5499999999993</v>
      </c>
      <c r="I10" s="36">
        <f>SUM(I6:I9)</f>
        <v>7237.2701259381338</v>
      </c>
      <c r="J10" s="37">
        <f t="shared" ref="J10" si="7">H10-I10</f>
        <v>-605.72012593813452</v>
      </c>
      <c r="K10" s="36">
        <f>SUM(K6:K9)</f>
        <v>6631.52</v>
      </c>
      <c r="L10" s="36">
        <f>SUM(L6:L9)</f>
        <v>7237.2701259381329</v>
      </c>
      <c r="M10" s="37">
        <f t="shared" ref="M10" si="8">K10-L10</f>
        <v>-605.75012593813244</v>
      </c>
      <c r="N10" s="36">
        <f>SUM(N6:N9)</f>
        <v>6631.52</v>
      </c>
      <c r="O10" s="36">
        <f>SUM(O6:O9)</f>
        <v>1878.8518149817749</v>
      </c>
      <c r="P10" s="37">
        <f t="shared" ref="P10" si="9">N10-O10</f>
        <v>4752.6681850182258</v>
      </c>
      <c r="Q10" s="36">
        <f>SUM(Q6:Q9)</f>
        <v>26526.14</v>
      </c>
      <c r="R10" s="38">
        <f t="shared" si="4"/>
        <v>22180.508783350131</v>
      </c>
      <c r="S10" s="37">
        <f t="shared" si="5"/>
        <v>4345.6312166498683</v>
      </c>
    </row>
    <row r="13" spans="2:19" ht="14.45" thickBot="1" x14ac:dyDescent="0.3">
      <c r="E13" s="2" t="s">
        <v>33</v>
      </c>
      <c r="F13" s="2" t="s">
        <v>34</v>
      </c>
      <c r="G13" s="2" t="s">
        <v>35</v>
      </c>
      <c r="H13" s="2" t="s">
        <v>95</v>
      </c>
    </row>
    <row r="14" spans="2:19" ht="15.75" thickBot="1" x14ac:dyDescent="0.3">
      <c r="E14" s="749" t="s">
        <v>59</v>
      </c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1"/>
    </row>
    <row r="15" spans="2:19" ht="29.25" thickBot="1" x14ac:dyDescent="0.3">
      <c r="E15" s="39" t="s">
        <v>47</v>
      </c>
      <c r="F15" s="40" t="s">
        <v>48</v>
      </c>
      <c r="G15" s="41" t="s">
        <v>49</v>
      </c>
      <c r="H15" s="42" t="s">
        <v>54</v>
      </c>
      <c r="I15" s="43" t="s">
        <v>50</v>
      </c>
      <c r="J15" s="752" t="s">
        <v>51</v>
      </c>
      <c r="K15" s="753"/>
      <c r="L15" s="753"/>
      <c r="M15" s="753"/>
      <c r="N15" s="753"/>
      <c r="O15" s="753"/>
      <c r="P15" s="753"/>
      <c r="Q15" s="754"/>
      <c r="R15" s="43" t="s">
        <v>52</v>
      </c>
    </row>
    <row r="16" spans="2:19" ht="14.45" thickBot="1" x14ac:dyDescent="0.3">
      <c r="E16" s="44">
        <v>655.95699999999999</v>
      </c>
      <c r="F16" s="45">
        <v>661</v>
      </c>
      <c r="G16" s="46">
        <v>43855</v>
      </c>
      <c r="H16" s="212">
        <v>175000</v>
      </c>
      <c r="I16" s="190">
        <f>H16/$E$16</f>
        <v>266.78578016546817</v>
      </c>
      <c r="J16" s="796" t="s">
        <v>150</v>
      </c>
      <c r="K16" s="797"/>
      <c r="L16" s="797"/>
      <c r="M16" s="797"/>
      <c r="N16" s="797"/>
      <c r="O16" s="797"/>
      <c r="P16" s="797"/>
      <c r="Q16" s="798"/>
      <c r="R16" s="48" t="s">
        <v>95</v>
      </c>
    </row>
    <row r="17" spans="5:18" x14ac:dyDescent="0.25">
      <c r="E17" s="743"/>
      <c r="F17" s="49">
        <v>662</v>
      </c>
      <c r="G17" s="50">
        <v>43855</v>
      </c>
      <c r="H17" s="213">
        <v>175000</v>
      </c>
      <c r="I17" s="189">
        <f t="shared" ref="I17:I41" si="10">H17/$E$16</f>
        <v>266.78578016546817</v>
      </c>
      <c r="J17" s="799" t="s">
        <v>149</v>
      </c>
      <c r="K17" s="800"/>
      <c r="L17" s="800"/>
      <c r="M17" s="800"/>
      <c r="N17" s="800"/>
      <c r="O17" s="800"/>
      <c r="P17" s="800"/>
      <c r="Q17" s="801"/>
      <c r="R17" s="52" t="s">
        <v>95</v>
      </c>
    </row>
    <row r="18" spans="5:18" x14ac:dyDescent="0.25">
      <c r="E18" s="743"/>
      <c r="F18" s="53">
        <v>663</v>
      </c>
      <c r="G18" s="50">
        <v>43855</v>
      </c>
      <c r="H18" s="214">
        <v>175000</v>
      </c>
      <c r="I18" s="189">
        <f t="shared" si="10"/>
        <v>266.78578016546817</v>
      </c>
      <c r="J18" s="799" t="s">
        <v>151</v>
      </c>
      <c r="K18" s="800"/>
      <c r="L18" s="800"/>
      <c r="M18" s="800"/>
      <c r="N18" s="800"/>
      <c r="O18" s="800"/>
      <c r="P18" s="800"/>
      <c r="Q18" s="801"/>
      <c r="R18" s="52" t="s">
        <v>95</v>
      </c>
    </row>
    <row r="19" spans="5:18" x14ac:dyDescent="0.25">
      <c r="E19" s="743"/>
      <c r="F19" s="53"/>
      <c r="G19" s="50">
        <v>43855</v>
      </c>
      <c r="H19" s="214">
        <v>307800</v>
      </c>
      <c r="I19" s="189">
        <f t="shared" si="10"/>
        <v>469.23807505674915</v>
      </c>
      <c r="J19" s="799" t="s">
        <v>185</v>
      </c>
      <c r="K19" s="800"/>
      <c r="L19" s="800"/>
      <c r="M19" s="800"/>
      <c r="N19" s="800"/>
      <c r="O19" s="800"/>
      <c r="P19" s="800"/>
      <c r="Q19" s="801"/>
      <c r="R19" s="52" t="s">
        <v>33</v>
      </c>
    </row>
    <row r="20" spans="5:18" x14ac:dyDescent="0.25">
      <c r="E20" s="743"/>
      <c r="F20" s="53"/>
      <c r="G20" s="50">
        <v>43855</v>
      </c>
      <c r="H20" s="214">
        <v>24600</v>
      </c>
      <c r="I20" s="189">
        <f t="shared" si="10"/>
        <v>37.502458240402952</v>
      </c>
      <c r="J20" s="761" t="s">
        <v>256</v>
      </c>
      <c r="K20" s="744"/>
      <c r="L20" s="744"/>
      <c r="M20" s="744"/>
      <c r="N20" s="744"/>
      <c r="O20" s="744"/>
      <c r="P20" s="744"/>
      <c r="Q20" s="745"/>
      <c r="R20" s="52" t="s">
        <v>33</v>
      </c>
    </row>
    <row r="21" spans="5:18" x14ac:dyDescent="0.25">
      <c r="E21" s="743"/>
      <c r="F21" s="53"/>
      <c r="G21" s="50">
        <v>43855</v>
      </c>
      <c r="H21" s="214">
        <v>24600</v>
      </c>
      <c r="I21" s="189">
        <f t="shared" si="10"/>
        <v>37.502458240402952</v>
      </c>
      <c r="J21" s="761" t="s">
        <v>255</v>
      </c>
      <c r="K21" s="744"/>
      <c r="L21" s="744"/>
      <c r="M21" s="744"/>
      <c r="N21" s="744"/>
      <c r="O21" s="744"/>
      <c r="P21" s="744"/>
      <c r="Q21" s="745"/>
      <c r="R21" s="52" t="s">
        <v>35</v>
      </c>
    </row>
    <row r="22" spans="5:18" ht="15.75" thickBot="1" x14ac:dyDescent="0.3">
      <c r="E22" s="743"/>
      <c r="F22" s="388"/>
      <c r="G22" s="337">
        <v>43855</v>
      </c>
      <c r="H22" s="389">
        <v>175446</v>
      </c>
      <c r="I22" s="390">
        <f t="shared" si="10"/>
        <v>267.46570278234702</v>
      </c>
      <c r="J22" s="831" t="s">
        <v>184</v>
      </c>
      <c r="K22" s="832"/>
      <c r="L22" s="832"/>
      <c r="M22" s="832"/>
      <c r="N22" s="832"/>
      <c r="O22" s="832"/>
      <c r="P22" s="832"/>
      <c r="Q22" s="833"/>
      <c r="R22" s="391" t="s">
        <v>35</v>
      </c>
    </row>
    <row r="23" spans="5:18" ht="15.75" thickTop="1" x14ac:dyDescent="0.25">
      <c r="E23" s="743"/>
      <c r="F23" s="49">
        <v>664</v>
      </c>
      <c r="G23" s="50">
        <v>43887</v>
      </c>
      <c r="H23" s="213">
        <v>175000</v>
      </c>
      <c r="I23" s="70">
        <f t="shared" si="10"/>
        <v>266.78578016546817</v>
      </c>
      <c r="J23" s="824" t="s">
        <v>150</v>
      </c>
      <c r="K23" s="825"/>
      <c r="L23" s="825"/>
      <c r="M23" s="825"/>
      <c r="N23" s="825"/>
      <c r="O23" s="825"/>
      <c r="P23" s="825"/>
      <c r="Q23" s="826"/>
      <c r="R23" s="387" t="s">
        <v>95</v>
      </c>
    </row>
    <row r="24" spans="5:18" x14ac:dyDescent="0.25">
      <c r="E24" s="743"/>
      <c r="F24" s="53">
        <v>665</v>
      </c>
      <c r="G24" s="54">
        <v>43887</v>
      </c>
      <c r="H24" s="214">
        <v>175000</v>
      </c>
      <c r="I24" s="189">
        <f t="shared" si="10"/>
        <v>266.78578016546817</v>
      </c>
      <c r="J24" s="827" t="s">
        <v>149</v>
      </c>
      <c r="K24" s="827"/>
      <c r="L24" s="827"/>
      <c r="M24" s="827"/>
      <c r="N24" s="827"/>
      <c r="O24" s="827"/>
      <c r="P24" s="827"/>
      <c r="Q24" s="828"/>
      <c r="R24" s="52" t="s">
        <v>95</v>
      </c>
    </row>
    <row r="25" spans="5:18" x14ac:dyDescent="0.25">
      <c r="E25" s="743"/>
      <c r="F25" s="53">
        <v>666</v>
      </c>
      <c r="G25" s="54">
        <v>43887</v>
      </c>
      <c r="H25" s="214">
        <v>175000</v>
      </c>
      <c r="I25" s="189">
        <f t="shared" si="10"/>
        <v>266.78578016546817</v>
      </c>
      <c r="J25" s="827" t="s">
        <v>151</v>
      </c>
      <c r="K25" s="827"/>
      <c r="L25" s="827"/>
      <c r="M25" s="827"/>
      <c r="N25" s="827"/>
      <c r="O25" s="827"/>
      <c r="P25" s="827"/>
      <c r="Q25" s="828"/>
      <c r="R25" s="52" t="s">
        <v>95</v>
      </c>
    </row>
    <row r="26" spans="5:18" x14ac:dyDescent="0.25">
      <c r="E26" s="743"/>
      <c r="F26" s="326">
        <v>671</v>
      </c>
      <c r="G26" s="327">
        <v>43887</v>
      </c>
      <c r="H26" s="328">
        <v>0</v>
      </c>
      <c r="I26" s="329">
        <f t="shared" si="10"/>
        <v>0</v>
      </c>
      <c r="J26" s="829" t="s">
        <v>152</v>
      </c>
      <c r="K26" s="829"/>
      <c r="L26" s="829"/>
      <c r="M26" s="829"/>
      <c r="N26" s="829"/>
      <c r="O26" s="829"/>
      <c r="P26" s="829"/>
      <c r="Q26" s="830"/>
      <c r="R26" s="330" t="s">
        <v>95</v>
      </c>
    </row>
    <row r="27" spans="5:18" x14ac:dyDescent="0.25">
      <c r="E27" s="743"/>
      <c r="F27" s="56"/>
      <c r="G27" s="54">
        <v>43887</v>
      </c>
      <c r="H27" s="214">
        <v>307800</v>
      </c>
      <c r="I27" s="189">
        <f t="shared" ref="I27:I30" si="11">H27/$E$16</f>
        <v>469.23807505674915</v>
      </c>
      <c r="J27" s="824" t="s">
        <v>185</v>
      </c>
      <c r="K27" s="825"/>
      <c r="L27" s="825"/>
      <c r="M27" s="825"/>
      <c r="N27" s="825"/>
      <c r="O27" s="825"/>
      <c r="P27" s="825"/>
      <c r="Q27" s="826"/>
      <c r="R27" s="52" t="s">
        <v>33</v>
      </c>
    </row>
    <row r="28" spans="5:18" x14ac:dyDescent="0.25">
      <c r="E28" s="743"/>
      <c r="F28" s="56"/>
      <c r="G28" s="54">
        <v>43887</v>
      </c>
      <c r="H28" s="214">
        <v>24600</v>
      </c>
      <c r="I28" s="189">
        <f t="shared" si="11"/>
        <v>37.502458240402952</v>
      </c>
      <c r="J28" s="837" t="s">
        <v>256</v>
      </c>
      <c r="K28" s="827"/>
      <c r="L28" s="827"/>
      <c r="M28" s="827"/>
      <c r="N28" s="827"/>
      <c r="O28" s="827"/>
      <c r="P28" s="827"/>
      <c r="Q28" s="828"/>
      <c r="R28" s="52" t="s">
        <v>33</v>
      </c>
    </row>
    <row r="29" spans="5:18" x14ac:dyDescent="0.25">
      <c r="E29" s="743"/>
      <c r="F29" s="56"/>
      <c r="G29" s="54">
        <v>43887</v>
      </c>
      <c r="H29" s="214">
        <v>24600</v>
      </c>
      <c r="I29" s="189">
        <f t="shared" si="11"/>
        <v>37.502458240402952</v>
      </c>
      <c r="J29" s="837" t="s">
        <v>255</v>
      </c>
      <c r="K29" s="827"/>
      <c r="L29" s="827"/>
      <c r="M29" s="827"/>
      <c r="N29" s="827"/>
      <c r="O29" s="827"/>
      <c r="P29" s="827"/>
      <c r="Q29" s="828"/>
      <c r="R29" s="52" t="s">
        <v>35</v>
      </c>
    </row>
    <row r="30" spans="5:18" ht="15.75" thickBot="1" x14ac:dyDescent="0.3">
      <c r="E30" s="743"/>
      <c r="F30" s="392"/>
      <c r="G30" s="337">
        <v>43887</v>
      </c>
      <c r="H30" s="389">
        <v>175446</v>
      </c>
      <c r="I30" s="390">
        <f t="shared" si="11"/>
        <v>267.46570278234702</v>
      </c>
      <c r="J30" s="834" t="s">
        <v>184</v>
      </c>
      <c r="K30" s="835"/>
      <c r="L30" s="835"/>
      <c r="M30" s="835"/>
      <c r="N30" s="835"/>
      <c r="O30" s="835"/>
      <c r="P30" s="835"/>
      <c r="Q30" s="836"/>
      <c r="R30" s="391" t="s">
        <v>35</v>
      </c>
    </row>
    <row r="31" spans="5:18" ht="15.75" thickTop="1" x14ac:dyDescent="0.25">
      <c r="E31" s="743"/>
      <c r="F31" s="49">
        <v>667</v>
      </c>
      <c r="G31" s="50">
        <v>43921</v>
      </c>
      <c r="H31" s="213">
        <v>175000</v>
      </c>
      <c r="I31" s="70">
        <f t="shared" si="10"/>
        <v>266.78578016546817</v>
      </c>
      <c r="J31" s="799" t="s">
        <v>150</v>
      </c>
      <c r="K31" s="800"/>
      <c r="L31" s="800"/>
      <c r="M31" s="800"/>
      <c r="N31" s="800"/>
      <c r="O31" s="800"/>
      <c r="P31" s="800"/>
      <c r="Q31" s="801"/>
      <c r="R31" s="387" t="s">
        <v>95</v>
      </c>
    </row>
    <row r="32" spans="5:18" x14ac:dyDescent="0.25">
      <c r="E32" s="743"/>
      <c r="F32" s="57">
        <v>669</v>
      </c>
      <c r="G32" s="54">
        <v>43921</v>
      </c>
      <c r="H32" s="214">
        <v>175000</v>
      </c>
      <c r="I32" s="189">
        <f t="shared" si="10"/>
        <v>266.78578016546817</v>
      </c>
      <c r="J32" s="744" t="s">
        <v>149</v>
      </c>
      <c r="K32" s="744"/>
      <c r="L32" s="744"/>
      <c r="M32" s="744"/>
      <c r="N32" s="744"/>
      <c r="O32" s="744"/>
      <c r="P32" s="744"/>
      <c r="Q32" s="745"/>
      <c r="R32" s="52" t="s">
        <v>95</v>
      </c>
    </row>
    <row r="33" spans="5:18" x14ac:dyDescent="0.25">
      <c r="E33" s="743"/>
      <c r="F33" s="58">
        <v>670</v>
      </c>
      <c r="G33" s="50">
        <v>43921</v>
      </c>
      <c r="H33" s="214">
        <v>175000</v>
      </c>
      <c r="I33" s="189">
        <f t="shared" si="10"/>
        <v>266.78578016546817</v>
      </c>
      <c r="J33" s="744" t="s">
        <v>151</v>
      </c>
      <c r="K33" s="744"/>
      <c r="L33" s="744"/>
      <c r="M33" s="744"/>
      <c r="N33" s="744"/>
      <c r="O33" s="744"/>
      <c r="P33" s="744"/>
      <c r="Q33" s="745"/>
      <c r="R33" s="59" t="s">
        <v>95</v>
      </c>
    </row>
    <row r="34" spans="5:18" x14ac:dyDescent="0.25">
      <c r="E34" s="743"/>
      <c r="F34" s="58">
        <v>668</v>
      </c>
      <c r="G34" s="50">
        <v>43921</v>
      </c>
      <c r="H34" s="214">
        <v>300000</v>
      </c>
      <c r="I34" s="189">
        <f t="shared" si="10"/>
        <v>457.34705171223112</v>
      </c>
      <c r="J34" s="744" t="s">
        <v>198</v>
      </c>
      <c r="K34" s="744"/>
      <c r="L34" s="744"/>
      <c r="M34" s="744"/>
      <c r="N34" s="744"/>
      <c r="O34" s="744"/>
      <c r="P34" s="744"/>
      <c r="Q34" s="745"/>
      <c r="R34" s="59" t="s">
        <v>34</v>
      </c>
    </row>
    <row r="35" spans="5:18" x14ac:dyDescent="0.25">
      <c r="E35" s="743"/>
      <c r="F35" s="58"/>
      <c r="G35" s="50">
        <v>43921</v>
      </c>
      <c r="H35" s="214">
        <v>350000</v>
      </c>
      <c r="I35" s="189">
        <f t="shared" si="10"/>
        <v>533.57156033093634</v>
      </c>
      <c r="J35" s="744" t="s">
        <v>197</v>
      </c>
      <c r="K35" s="744"/>
      <c r="L35" s="744"/>
      <c r="M35" s="744"/>
      <c r="N35" s="744"/>
      <c r="O35" s="744"/>
      <c r="P35" s="744"/>
      <c r="Q35" s="745"/>
      <c r="R35" s="59" t="s">
        <v>95</v>
      </c>
    </row>
    <row r="36" spans="5:18" x14ac:dyDescent="0.25">
      <c r="E36" s="743"/>
      <c r="F36" s="58"/>
      <c r="G36" s="50">
        <v>43921</v>
      </c>
      <c r="H36" s="214">
        <v>307800</v>
      </c>
      <c r="I36" s="189">
        <f t="shared" si="10"/>
        <v>469.23807505674915</v>
      </c>
      <c r="J36" s="799" t="s">
        <v>185</v>
      </c>
      <c r="K36" s="800"/>
      <c r="L36" s="800"/>
      <c r="M36" s="800"/>
      <c r="N36" s="800"/>
      <c r="O36" s="800"/>
      <c r="P36" s="800"/>
      <c r="Q36" s="801"/>
      <c r="R36" s="52" t="s">
        <v>33</v>
      </c>
    </row>
    <row r="37" spans="5:18" x14ac:dyDescent="0.25">
      <c r="E37" s="743"/>
      <c r="F37" s="58"/>
      <c r="G37" s="50">
        <v>43921</v>
      </c>
      <c r="H37" s="214">
        <v>175446</v>
      </c>
      <c r="I37" s="189">
        <f t="shared" si="10"/>
        <v>267.46570278234702</v>
      </c>
      <c r="J37" s="799" t="s">
        <v>184</v>
      </c>
      <c r="K37" s="800"/>
      <c r="L37" s="800"/>
      <c r="M37" s="800"/>
      <c r="N37" s="800"/>
      <c r="O37" s="800"/>
      <c r="P37" s="800"/>
      <c r="Q37" s="801"/>
      <c r="R37" s="52" t="s">
        <v>35</v>
      </c>
    </row>
    <row r="38" spans="5:18" x14ac:dyDescent="0.25">
      <c r="E38" s="743"/>
      <c r="F38" s="56"/>
      <c r="G38" s="50">
        <v>43921</v>
      </c>
      <c r="H38" s="214">
        <v>24600</v>
      </c>
      <c r="I38" s="189">
        <f t="shared" si="10"/>
        <v>37.502458240402952</v>
      </c>
      <c r="J38" s="837" t="s">
        <v>256</v>
      </c>
      <c r="K38" s="827"/>
      <c r="L38" s="827"/>
      <c r="M38" s="827"/>
      <c r="N38" s="827"/>
      <c r="O38" s="827"/>
      <c r="P38" s="827"/>
      <c r="Q38" s="828"/>
      <c r="R38" s="52" t="s">
        <v>33</v>
      </c>
    </row>
    <row r="39" spans="5:18" x14ac:dyDescent="0.25">
      <c r="E39" s="743"/>
      <c r="F39" s="56"/>
      <c r="G39" s="50">
        <v>43921</v>
      </c>
      <c r="H39" s="214">
        <v>24600</v>
      </c>
      <c r="I39" s="189">
        <f t="shared" si="10"/>
        <v>37.502458240402952</v>
      </c>
      <c r="J39" s="837" t="s">
        <v>255</v>
      </c>
      <c r="K39" s="827"/>
      <c r="L39" s="827"/>
      <c r="M39" s="827"/>
      <c r="N39" s="827"/>
      <c r="O39" s="827"/>
      <c r="P39" s="827"/>
      <c r="Q39" s="828"/>
      <c r="R39" s="52" t="s">
        <v>35</v>
      </c>
    </row>
    <row r="40" spans="5:18" x14ac:dyDescent="0.25">
      <c r="E40" s="743"/>
      <c r="F40" s="53"/>
      <c r="G40" s="54"/>
      <c r="H40" s="214"/>
      <c r="I40" s="189">
        <f t="shared" si="10"/>
        <v>0</v>
      </c>
      <c r="J40" s="744"/>
      <c r="K40" s="744"/>
      <c r="L40" s="744"/>
      <c r="M40" s="744"/>
      <c r="N40" s="744"/>
      <c r="O40" s="744"/>
      <c r="P40" s="744"/>
      <c r="Q40" s="745"/>
      <c r="R40" s="52"/>
    </row>
    <row r="41" spans="5:18" ht="15.75" thickBot="1" x14ac:dyDescent="0.3">
      <c r="E41" s="743"/>
      <c r="F41" s="60"/>
      <c r="G41" s="61"/>
      <c r="H41" s="215"/>
      <c r="I41" s="70">
        <f t="shared" si="10"/>
        <v>0</v>
      </c>
      <c r="J41" s="744"/>
      <c r="K41" s="744"/>
      <c r="L41" s="744"/>
      <c r="M41" s="744"/>
      <c r="N41" s="744"/>
      <c r="O41" s="744"/>
      <c r="P41" s="744"/>
      <c r="Q41" s="745"/>
      <c r="R41" s="63"/>
    </row>
    <row r="42" spans="5:18" ht="14.45" thickBot="1" x14ac:dyDescent="0.3">
      <c r="E42" s="64"/>
      <c r="F42" s="736" t="s">
        <v>58</v>
      </c>
      <c r="G42" s="737"/>
      <c r="H42" s="216">
        <f>SUM(H16:H41)</f>
        <v>3822338</v>
      </c>
      <c r="I42" s="65">
        <f>SUM(I16:I41)</f>
        <v>5827.1167164920871</v>
      </c>
      <c r="J42" s="738"/>
      <c r="K42" s="738"/>
      <c r="L42" s="738"/>
      <c r="M42" s="738"/>
      <c r="N42" s="738"/>
      <c r="O42" s="738"/>
      <c r="P42" s="738"/>
      <c r="Q42" s="739"/>
      <c r="R42" s="66"/>
    </row>
    <row r="43" spans="5:18" ht="14.45" thickBot="1" x14ac:dyDescent="0.3">
      <c r="E43" s="67">
        <v>655.95699999999999</v>
      </c>
      <c r="F43" s="68">
        <v>673</v>
      </c>
      <c r="G43" s="50">
        <v>43951</v>
      </c>
      <c r="H43" s="213">
        <v>175000</v>
      </c>
      <c r="I43" s="70">
        <f t="shared" ref="I43:I60" si="12">H43/$E$16</f>
        <v>266.78578016546817</v>
      </c>
      <c r="J43" s="799" t="s">
        <v>150</v>
      </c>
      <c r="K43" s="800"/>
      <c r="L43" s="800"/>
      <c r="M43" s="800"/>
      <c r="N43" s="800"/>
      <c r="O43" s="800"/>
      <c r="P43" s="800"/>
      <c r="Q43" s="801"/>
      <c r="R43" s="387" t="s">
        <v>95</v>
      </c>
    </row>
    <row r="44" spans="5:18" x14ac:dyDescent="0.25">
      <c r="E44" s="781"/>
      <c r="F44" s="72">
        <v>674</v>
      </c>
      <c r="G44" s="50">
        <v>43951</v>
      </c>
      <c r="H44" s="214">
        <v>175000</v>
      </c>
      <c r="I44" s="189">
        <f t="shared" si="12"/>
        <v>266.78578016546817</v>
      </c>
      <c r="J44" s="744" t="s">
        <v>149</v>
      </c>
      <c r="K44" s="744"/>
      <c r="L44" s="744"/>
      <c r="M44" s="744"/>
      <c r="N44" s="744"/>
      <c r="O44" s="744"/>
      <c r="P44" s="744"/>
      <c r="Q44" s="745"/>
      <c r="R44" s="52" t="s">
        <v>95</v>
      </c>
    </row>
    <row r="45" spans="5:18" x14ac:dyDescent="0.25">
      <c r="E45" s="743"/>
      <c r="F45" s="72">
        <v>675</v>
      </c>
      <c r="G45" s="50">
        <v>43951</v>
      </c>
      <c r="H45" s="214">
        <v>175000</v>
      </c>
      <c r="I45" s="189">
        <f t="shared" si="12"/>
        <v>266.78578016546817</v>
      </c>
      <c r="J45" s="744" t="s">
        <v>151</v>
      </c>
      <c r="K45" s="744"/>
      <c r="L45" s="744"/>
      <c r="M45" s="744"/>
      <c r="N45" s="744"/>
      <c r="O45" s="744"/>
      <c r="P45" s="744"/>
      <c r="Q45" s="745"/>
      <c r="R45" s="59" t="s">
        <v>95</v>
      </c>
    </row>
    <row r="46" spans="5:18" x14ac:dyDescent="0.25">
      <c r="E46" s="743"/>
      <c r="F46" s="72">
        <v>672</v>
      </c>
      <c r="G46" s="50">
        <v>43951</v>
      </c>
      <c r="H46" s="214">
        <v>175000</v>
      </c>
      <c r="I46" s="189">
        <f t="shared" si="12"/>
        <v>266.78578016546817</v>
      </c>
      <c r="J46" s="744" t="s">
        <v>296</v>
      </c>
      <c r="K46" s="744"/>
      <c r="L46" s="744"/>
      <c r="M46" s="744"/>
      <c r="N46" s="744"/>
      <c r="O46" s="744"/>
      <c r="P46" s="744"/>
      <c r="Q46" s="745"/>
      <c r="R46" s="59" t="s">
        <v>95</v>
      </c>
    </row>
    <row r="47" spans="5:18" x14ac:dyDescent="0.25">
      <c r="E47" s="743"/>
      <c r="F47" s="77"/>
      <c r="G47" s="50">
        <v>43951</v>
      </c>
      <c r="H47" s="214">
        <v>307800</v>
      </c>
      <c r="I47" s="189">
        <f t="shared" si="12"/>
        <v>469.23807505674915</v>
      </c>
      <c r="J47" s="799" t="s">
        <v>185</v>
      </c>
      <c r="K47" s="800"/>
      <c r="L47" s="800"/>
      <c r="M47" s="800"/>
      <c r="N47" s="800"/>
      <c r="O47" s="800"/>
      <c r="P47" s="800"/>
      <c r="Q47" s="801"/>
      <c r="R47" s="52" t="s">
        <v>33</v>
      </c>
    </row>
    <row r="48" spans="5:18" x14ac:dyDescent="0.25">
      <c r="E48" s="743"/>
      <c r="F48" s="77"/>
      <c r="G48" s="50">
        <v>43951</v>
      </c>
      <c r="H48" s="214">
        <v>175446</v>
      </c>
      <c r="I48" s="189">
        <f t="shared" si="12"/>
        <v>267.46570278234702</v>
      </c>
      <c r="J48" s="799" t="s">
        <v>330</v>
      </c>
      <c r="K48" s="800"/>
      <c r="L48" s="800"/>
      <c r="M48" s="800"/>
      <c r="N48" s="800"/>
      <c r="O48" s="800"/>
      <c r="P48" s="800"/>
      <c r="Q48" s="801"/>
      <c r="R48" s="52" t="s">
        <v>35</v>
      </c>
    </row>
    <row r="49" spans="5:18" x14ac:dyDescent="0.25">
      <c r="E49" s="743"/>
      <c r="F49" s="77"/>
      <c r="G49" s="50">
        <v>43951</v>
      </c>
      <c r="H49" s="214">
        <v>24600</v>
      </c>
      <c r="I49" s="189">
        <f t="shared" si="12"/>
        <v>37.502458240402952</v>
      </c>
      <c r="J49" s="837" t="s">
        <v>256</v>
      </c>
      <c r="K49" s="827"/>
      <c r="L49" s="827"/>
      <c r="M49" s="827"/>
      <c r="N49" s="827"/>
      <c r="O49" s="827"/>
      <c r="P49" s="827"/>
      <c r="Q49" s="828"/>
      <c r="R49" s="52" t="s">
        <v>33</v>
      </c>
    </row>
    <row r="50" spans="5:18" x14ac:dyDescent="0.25">
      <c r="E50" s="743"/>
      <c r="F50" s="77"/>
      <c r="G50" s="50">
        <v>43951</v>
      </c>
      <c r="H50" s="214">
        <v>24600</v>
      </c>
      <c r="I50" s="189">
        <f t="shared" si="12"/>
        <v>37.502458240402952</v>
      </c>
      <c r="J50" s="837" t="s">
        <v>255</v>
      </c>
      <c r="K50" s="827"/>
      <c r="L50" s="827"/>
      <c r="M50" s="827"/>
      <c r="N50" s="827"/>
      <c r="O50" s="827"/>
      <c r="P50" s="827"/>
      <c r="Q50" s="828"/>
      <c r="R50" s="52" t="s">
        <v>35</v>
      </c>
    </row>
    <row r="51" spans="5:18" x14ac:dyDescent="0.25">
      <c r="E51" s="743"/>
      <c r="F51" s="69"/>
      <c r="G51" s="50">
        <v>43951</v>
      </c>
      <c r="H51" s="214">
        <v>350000</v>
      </c>
      <c r="I51" s="189">
        <f t="shared" si="12"/>
        <v>533.57156033093634</v>
      </c>
      <c r="J51" s="762" t="s">
        <v>300</v>
      </c>
      <c r="K51" s="763"/>
      <c r="L51" s="763"/>
      <c r="M51" s="763"/>
      <c r="N51" s="763"/>
      <c r="O51" s="763"/>
      <c r="P51" s="763"/>
      <c r="Q51" s="764"/>
      <c r="R51" s="52" t="s">
        <v>34</v>
      </c>
    </row>
    <row r="52" spans="5:18" x14ac:dyDescent="0.25">
      <c r="E52" s="743"/>
      <c r="F52" s="72">
        <v>28</v>
      </c>
      <c r="G52" s="73">
        <v>43978</v>
      </c>
      <c r="H52" s="464">
        <v>175000</v>
      </c>
      <c r="I52" s="189">
        <f t="shared" si="12"/>
        <v>266.78578016546817</v>
      </c>
      <c r="J52" s="762" t="s">
        <v>302</v>
      </c>
      <c r="K52" s="763"/>
      <c r="L52" s="763"/>
      <c r="M52" s="763"/>
      <c r="N52" s="763"/>
      <c r="O52" s="763"/>
      <c r="P52" s="763"/>
      <c r="Q52" s="764"/>
      <c r="R52" s="75" t="s">
        <v>95</v>
      </c>
    </row>
    <row r="53" spans="5:18" x14ac:dyDescent="0.25">
      <c r="E53" s="743"/>
      <c r="F53" s="77">
        <v>29</v>
      </c>
      <c r="G53" s="73">
        <f>G52</f>
        <v>43978</v>
      </c>
      <c r="H53" s="464">
        <v>175000</v>
      </c>
      <c r="I53" s="189">
        <f t="shared" si="12"/>
        <v>266.78578016546817</v>
      </c>
      <c r="J53" s="762" t="s">
        <v>303</v>
      </c>
      <c r="K53" s="763"/>
      <c r="L53" s="763"/>
      <c r="M53" s="763"/>
      <c r="N53" s="763"/>
      <c r="O53" s="763"/>
      <c r="P53" s="763"/>
      <c r="Q53" s="764"/>
      <c r="R53" s="78" t="s">
        <v>95</v>
      </c>
    </row>
    <row r="54" spans="5:18" x14ac:dyDescent="0.25">
      <c r="E54" s="743"/>
      <c r="F54" s="77">
        <v>30</v>
      </c>
      <c r="G54" s="73">
        <f t="shared" ref="G54:G59" si="13">G53</f>
        <v>43978</v>
      </c>
      <c r="H54" s="464">
        <v>175000</v>
      </c>
      <c r="I54" s="189">
        <f t="shared" si="12"/>
        <v>266.78578016546817</v>
      </c>
      <c r="J54" s="762" t="s">
        <v>304</v>
      </c>
      <c r="K54" s="763"/>
      <c r="L54" s="763"/>
      <c r="M54" s="763"/>
      <c r="N54" s="763"/>
      <c r="O54" s="763"/>
      <c r="P54" s="763"/>
      <c r="Q54" s="764"/>
      <c r="R54" s="78" t="s">
        <v>95</v>
      </c>
    </row>
    <row r="55" spans="5:18" x14ac:dyDescent="0.25">
      <c r="E55" s="743"/>
      <c r="F55" s="77">
        <v>27</v>
      </c>
      <c r="G55" s="73">
        <f t="shared" si="13"/>
        <v>43978</v>
      </c>
      <c r="H55" s="464">
        <v>175000</v>
      </c>
      <c r="I55" s="189">
        <f t="shared" si="12"/>
        <v>266.78578016546817</v>
      </c>
      <c r="J55" s="762" t="s">
        <v>309</v>
      </c>
      <c r="K55" s="763"/>
      <c r="L55" s="763"/>
      <c r="M55" s="763"/>
      <c r="N55" s="763"/>
      <c r="O55" s="763"/>
      <c r="P55" s="763"/>
      <c r="Q55" s="764"/>
      <c r="R55" s="78" t="s">
        <v>95</v>
      </c>
    </row>
    <row r="56" spans="5:18" x14ac:dyDescent="0.25">
      <c r="E56" s="743"/>
      <c r="F56" s="77"/>
      <c r="G56" s="73">
        <f t="shared" si="13"/>
        <v>43978</v>
      </c>
      <c r="H56" s="464">
        <v>307800</v>
      </c>
      <c r="I56" s="189">
        <f t="shared" si="12"/>
        <v>469.23807505674915</v>
      </c>
      <c r="J56" s="762" t="s">
        <v>305</v>
      </c>
      <c r="K56" s="763"/>
      <c r="L56" s="763"/>
      <c r="M56" s="763"/>
      <c r="N56" s="763"/>
      <c r="O56" s="763"/>
      <c r="P56" s="763"/>
      <c r="Q56" s="764"/>
      <c r="R56" s="78" t="s">
        <v>33</v>
      </c>
    </row>
    <row r="57" spans="5:18" x14ac:dyDescent="0.25">
      <c r="E57" s="743"/>
      <c r="F57" s="77"/>
      <c r="G57" s="73">
        <f t="shared" si="13"/>
        <v>43978</v>
      </c>
      <c r="H57" s="464">
        <v>175446</v>
      </c>
      <c r="I57" s="189">
        <f t="shared" si="12"/>
        <v>267.46570278234702</v>
      </c>
      <c r="J57" s="762" t="s">
        <v>329</v>
      </c>
      <c r="K57" s="763"/>
      <c r="L57" s="763"/>
      <c r="M57" s="763"/>
      <c r="N57" s="763"/>
      <c r="O57" s="763"/>
      <c r="P57" s="763"/>
      <c r="Q57" s="764"/>
      <c r="R57" s="78" t="s">
        <v>35</v>
      </c>
    </row>
    <row r="58" spans="5:18" x14ac:dyDescent="0.25">
      <c r="E58" s="743"/>
      <c r="F58" s="77"/>
      <c r="G58" s="73">
        <f t="shared" si="13"/>
        <v>43978</v>
      </c>
      <c r="H58" s="464">
        <v>24600</v>
      </c>
      <c r="I58" s="189">
        <f t="shared" si="12"/>
        <v>37.502458240402952</v>
      </c>
      <c r="J58" s="838" t="s">
        <v>306</v>
      </c>
      <c r="K58" s="839"/>
      <c r="L58" s="839"/>
      <c r="M58" s="839"/>
      <c r="N58" s="839"/>
      <c r="O58" s="839"/>
      <c r="P58" s="839"/>
      <c r="Q58" s="840"/>
      <c r="R58" s="78" t="s">
        <v>35</v>
      </c>
    </row>
    <row r="59" spans="5:18" x14ac:dyDescent="0.25">
      <c r="E59" s="743"/>
      <c r="F59" s="77"/>
      <c r="G59" s="73">
        <f t="shared" si="13"/>
        <v>43978</v>
      </c>
      <c r="H59" s="464">
        <v>24600</v>
      </c>
      <c r="I59" s="189">
        <f t="shared" si="12"/>
        <v>37.502458240402952</v>
      </c>
      <c r="J59" s="838" t="s">
        <v>307</v>
      </c>
      <c r="K59" s="839"/>
      <c r="L59" s="839"/>
      <c r="M59" s="839"/>
      <c r="N59" s="839"/>
      <c r="O59" s="839"/>
      <c r="P59" s="839"/>
      <c r="Q59" s="840"/>
      <c r="R59" s="78" t="s">
        <v>33</v>
      </c>
    </row>
    <row r="60" spans="5:18" x14ac:dyDescent="0.25">
      <c r="E60" s="743"/>
      <c r="F60" s="77"/>
      <c r="G60" s="73">
        <v>43973</v>
      </c>
      <c r="H60" s="464">
        <v>350000</v>
      </c>
      <c r="I60" s="189">
        <f t="shared" si="12"/>
        <v>533.57156033093634</v>
      </c>
      <c r="J60" s="762" t="s">
        <v>308</v>
      </c>
      <c r="K60" s="763"/>
      <c r="L60" s="763"/>
      <c r="M60" s="763"/>
      <c r="N60" s="763"/>
      <c r="O60" s="763"/>
      <c r="P60" s="763"/>
      <c r="Q60" s="764"/>
      <c r="R60" s="78" t="s">
        <v>34</v>
      </c>
    </row>
    <row r="61" spans="5:18" x14ac:dyDescent="0.25">
      <c r="E61" s="743"/>
      <c r="F61" s="77">
        <v>676</v>
      </c>
      <c r="G61" s="73">
        <v>44012</v>
      </c>
      <c r="H61" s="464">
        <v>175000</v>
      </c>
      <c r="I61" s="70">
        <f t="shared" ref="I61:I71" si="14">H61/$E$43</f>
        <v>266.78578016546817</v>
      </c>
      <c r="J61" s="762" t="s">
        <v>302</v>
      </c>
      <c r="K61" s="763"/>
      <c r="L61" s="763"/>
      <c r="M61" s="763"/>
      <c r="N61" s="763"/>
      <c r="O61" s="763"/>
      <c r="P61" s="763"/>
      <c r="Q61" s="764"/>
      <c r="R61" s="75" t="s">
        <v>95</v>
      </c>
    </row>
    <row r="62" spans="5:18" x14ac:dyDescent="0.25">
      <c r="E62" s="743"/>
      <c r="F62" s="77">
        <v>678</v>
      </c>
      <c r="G62" s="73">
        <v>44012</v>
      </c>
      <c r="H62" s="464">
        <v>175000</v>
      </c>
      <c r="I62" s="70">
        <f t="shared" si="14"/>
        <v>266.78578016546817</v>
      </c>
      <c r="J62" s="762" t="s">
        <v>303</v>
      </c>
      <c r="K62" s="763"/>
      <c r="L62" s="763"/>
      <c r="M62" s="763"/>
      <c r="N62" s="763"/>
      <c r="O62" s="763"/>
      <c r="P62" s="763"/>
      <c r="Q62" s="764"/>
      <c r="R62" s="78" t="s">
        <v>95</v>
      </c>
    </row>
    <row r="63" spans="5:18" x14ac:dyDescent="0.25">
      <c r="E63" s="743"/>
      <c r="F63" s="77">
        <v>679</v>
      </c>
      <c r="G63" s="73">
        <v>44012</v>
      </c>
      <c r="H63" s="464">
        <v>175000</v>
      </c>
      <c r="I63" s="70">
        <f t="shared" si="14"/>
        <v>266.78578016546817</v>
      </c>
      <c r="J63" s="762" t="s">
        <v>304</v>
      </c>
      <c r="K63" s="763"/>
      <c r="L63" s="763"/>
      <c r="M63" s="763"/>
      <c r="N63" s="763"/>
      <c r="O63" s="763"/>
      <c r="P63" s="763"/>
      <c r="Q63" s="764"/>
      <c r="R63" s="78" t="s">
        <v>95</v>
      </c>
    </row>
    <row r="64" spans="5:18" x14ac:dyDescent="0.25">
      <c r="E64" s="743"/>
      <c r="F64" s="77">
        <v>677</v>
      </c>
      <c r="G64" s="73">
        <v>44012</v>
      </c>
      <c r="H64" s="464">
        <v>175000</v>
      </c>
      <c r="I64" s="70">
        <f t="shared" si="14"/>
        <v>266.78578016546817</v>
      </c>
      <c r="J64" s="762" t="s">
        <v>309</v>
      </c>
      <c r="K64" s="763"/>
      <c r="L64" s="763"/>
      <c r="M64" s="763"/>
      <c r="N64" s="763"/>
      <c r="O64" s="763"/>
      <c r="P64" s="763"/>
      <c r="Q64" s="764"/>
      <c r="R64" s="78" t="s">
        <v>95</v>
      </c>
    </row>
    <row r="65" spans="5:18" x14ac:dyDescent="0.25">
      <c r="E65" s="743"/>
      <c r="F65" s="77"/>
      <c r="G65" s="54">
        <v>44012</v>
      </c>
      <c r="H65" s="464">
        <v>307800</v>
      </c>
      <c r="I65" s="70">
        <f t="shared" si="14"/>
        <v>469.23807505674915</v>
      </c>
      <c r="J65" s="762" t="s">
        <v>305</v>
      </c>
      <c r="K65" s="763"/>
      <c r="L65" s="763"/>
      <c r="M65" s="763"/>
      <c r="N65" s="763"/>
      <c r="O65" s="763"/>
      <c r="P65" s="763"/>
      <c r="Q65" s="764"/>
      <c r="R65" s="78" t="s">
        <v>33</v>
      </c>
    </row>
    <row r="66" spans="5:18" x14ac:dyDescent="0.25">
      <c r="E66" s="743"/>
      <c r="F66" s="77"/>
      <c r="G66" s="73">
        <v>44012</v>
      </c>
      <c r="H66" s="464">
        <v>175446</v>
      </c>
      <c r="I66" s="70">
        <f t="shared" si="14"/>
        <v>267.46570278234702</v>
      </c>
      <c r="J66" s="762" t="s">
        <v>328</v>
      </c>
      <c r="K66" s="763"/>
      <c r="L66" s="763"/>
      <c r="M66" s="763"/>
      <c r="N66" s="763"/>
      <c r="O66" s="763"/>
      <c r="P66" s="763"/>
      <c r="Q66" s="764"/>
      <c r="R66" s="78" t="s">
        <v>35</v>
      </c>
    </row>
    <row r="67" spans="5:18" x14ac:dyDescent="0.25">
      <c r="E67" s="743"/>
      <c r="F67" s="77"/>
      <c r="G67" s="73">
        <v>44006</v>
      </c>
      <c r="H67" s="464">
        <v>24600</v>
      </c>
      <c r="I67" s="70">
        <f t="shared" si="14"/>
        <v>37.502458240402952</v>
      </c>
      <c r="J67" s="838" t="s">
        <v>331</v>
      </c>
      <c r="K67" s="839"/>
      <c r="L67" s="839"/>
      <c r="M67" s="839"/>
      <c r="N67" s="839"/>
      <c r="O67" s="839"/>
      <c r="P67" s="839"/>
      <c r="Q67" s="840"/>
      <c r="R67" s="78" t="s">
        <v>33</v>
      </c>
    </row>
    <row r="68" spans="5:18" x14ac:dyDescent="0.25">
      <c r="E68" s="743"/>
      <c r="F68" s="77"/>
      <c r="G68" s="73">
        <v>44006</v>
      </c>
      <c r="H68" s="464">
        <v>24600</v>
      </c>
      <c r="I68" s="70">
        <f t="shared" si="14"/>
        <v>37.502458240402952</v>
      </c>
      <c r="J68" s="838" t="s">
        <v>306</v>
      </c>
      <c r="K68" s="839"/>
      <c r="L68" s="839"/>
      <c r="M68" s="839"/>
      <c r="N68" s="839"/>
      <c r="O68" s="839"/>
      <c r="P68" s="839"/>
      <c r="Q68" s="840"/>
      <c r="R68" s="78" t="s">
        <v>35</v>
      </c>
    </row>
    <row r="69" spans="5:18" x14ac:dyDescent="0.25">
      <c r="E69" s="743"/>
      <c r="F69" s="77"/>
      <c r="G69" s="73">
        <v>44006</v>
      </c>
      <c r="H69" s="464">
        <v>350000</v>
      </c>
      <c r="I69" s="70">
        <f t="shared" si="14"/>
        <v>533.57156033093634</v>
      </c>
      <c r="J69" s="762" t="s">
        <v>308</v>
      </c>
      <c r="K69" s="763"/>
      <c r="L69" s="763"/>
      <c r="M69" s="763"/>
      <c r="N69" s="763"/>
      <c r="O69" s="763"/>
      <c r="P69" s="763"/>
      <c r="Q69" s="764"/>
      <c r="R69" s="78" t="s">
        <v>34</v>
      </c>
    </row>
    <row r="70" spans="5:18" x14ac:dyDescent="0.25">
      <c r="E70" s="743"/>
      <c r="F70" s="77"/>
      <c r="G70" s="73"/>
      <c r="H70" s="74"/>
      <c r="I70" s="70">
        <f t="shared" si="14"/>
        <v>0</v>
      </c>
      <c r="J70" s="765"/>
      <c r="K70" s="765"/>
      <c r="L70" s="765"/>
      <c r="M70" s="765"/>
      <c r="N70" s="765"/>
      <c r="O70" s="765"/>
      <c r="P70" s="765"/>
      <c r="Q70" s="766"/>
      <c r="R70" s="75"/>
    </row>
    <row r="71" spans="5:18" ht="15.75" thickBot="1" x14ac:dyDescent="0.3">
      <c r="E71" s="782"/>
      <c r="F71" s="81"/>
      <c r="G71" s="576"/>
      <c r="H71" s="83"/>
      <c r="I71" s="70">
        <f t="shared" si="14"/>
        <v>0</v>
      </c>
      <c r="J71" s="765"/>
      <c r="K71" s="765"/>
      <c r="L71" s="765"/>
      <c r="M71" s="765"/>
      <c r="N71" s="765"/>
      <c r="O71" s="765"/>
      <c r="P71" s="765"/>
      <c r="Q71" s="766"/>
      <c r="R71" s="80"/>
    </row>
    <row r="72" spans="5:18" ht="14.45" thickBot="1" x14ac:dyDescent="0.3">
      <c r="E72" s="64"/>
      <c r="F72" s="736" t="s">
        <v>57</v>
      </c>
      <c r="G72" s="737"/>
      <c r="H72" s="84">
        <f>SUM(H43:H71)</f>
        <v>4747338</v>
      </c>
      <c r="I72" s="191">
        <f>SUM(I43:I71)</f>
        <v>7237.2701259381329</v>
      </c>
      <c r="J72" s="431"/>
      <c r="K72" s="431"/>
      <c r="L72" s="431"/>
      <c r="M72" s="431"/>
      <c r="N72" s="431"/>
      <c r="O72" s="431"/>
      <c r="P72" s="431"/>
      <c r="Q72" s="432"/>
      <c r="R72" s="66"/>
    </row>
    <row r="73" spans="5:18" ht="14.45" thickBot="1" x14ac:dyDescent="0.3">
      <c r="E73" s="85">
        <v>655.95699999999999</v>
      </c>
      <c r="F73" s="77">
        <v>680</v>
      </c>
      <c r="G73" s="503">
        <v>44042</v>
      </c>
      <c r="H73" s="464">
        <v>175000</v>
      </c>
      <c r="I73" s="70">
        <f t="shared" ref="I73:I81" si="15">H73/$E$73</f>
        <v>266.78578016546817</v>
      </c>
      <c r="J73" s="844" t="s">
        <v>366</v>
      </c>
      <c r="K73" s="740"/>
      <c r="L73" s="740"/>
      <c r="M73" s="740"/>
      <c r="N73" s="740"/>
      <c r="O73" s="740"/>
      <c r="P73" s="740"/>
      <c r="Q73" s="845"/>
      <c r="R73" s="504" t="s">
        <v>367</v>
      </c>
    </row>
    <row r="74" spans="5:18" x14ac:dyDescent="0.25">
      <c r="E74" s="805"/>
      <c r="F74" s="505">
        <v>681</v>
      </c>
      <c r="G74" s="500">
        <v>44042</v>
      </c>
      <c r="H74" s="464">
        <v>175000</v>
      </c>
      <c r="I74" s="70">
        <f t="shared" si="15"/>
        <v>266.78578016546817</v>
      </c>
      <c r="J74" s="762" t="s">
        <v>368</v>
      </c>
      <c r="K74" s="763"/>
      <c r="L74" s="763"/>
      <c r="M74" s="763"/>
      <c r="N74" s="763"/>
      <c r="O74" s="763"/>
      <c r="P74" s="763"/>
      <c r="Q74" s="842"/>
      <c r="R74" s="506" t="s">
        <v>95</v>
      </c>
    </row>
    <row r="75" spans="5:18" x14ac:dyDescent="0.25">
      <c r="E75" s="806"/>
      <c r="F75" s="505">
        <v>682</v>
      </c>
      <c r="G75" s="500">
        <v>44042</v>
      </c>
      <c r="H75" s="464">
        <v>175000</v>
      </c>
      <c r="I75" s="70">
        <f t="shared" si="15"/>
        <v>266.78578016546817</v>
      </c>
      <c r="J75" s="762" t="s">
        <v>369</v>
      </c>
      <c r="K75" s="763"/>
      <c r="L75" s="763"/>
      <c r="M75" s="763"/>
      <c r="N75" s="763"/>
      <c r="O75" s="763"/>
      <c r="P75" s="763"/>
      <c r="Q75" s="842"/>
      <c r="R75" s="506" t="s">
        <v>95</v>
      </c>
    </row>
    <row r="76" spans="5:18" x14ac:dyDescent="0.25">
      <c r="E76" s="806"/>
      <c r="F76" s="505">
        <v>683</v>
      </c>
      <c r="G76" s="500">
        <v>44042</v>
      </c>
      <c r="H76" s="464">
        <v>175000</v>
      </c>
      <c r="I76" s="70">
        <f t="shared" si="15"/>
        <v>266.78578016546817</v>
      </c>
      <c r="J76" s="762" t="s">
        <v>370</v>
      </c>
      <c r="K76" s="763"/>
      <c r="L76" s="763"/>
      <c r="M76" s="763"/>
      <c r="N76" s="763"/>
      <c r="O76" s="763"/>
      <c r="P76" s="763"/>
      <c r="Q76" s="842"/>
      <c r="R76" s="506" t="s">
        <v>95</v>
      </c>
    </row>
    <row r="77" spans="5:18" x14ac:dyDescent="0.25">
      <c r="E77" s="806"/>
      <c r="F77" s="505" t="s">
        <v>322</v>
      </c>
      <c r="G77" s="500">
        <v>44042</v>
      </c>
      <c r="H77" s="464">
        <v>307800</v>
      </c>
      <c r="I77" s="70">
        <f t="shared" si="15"/>
        <v>469.23807505674915</v>
      </c>
      <c r="J77" s="762" t="s">
        <v>371</v>
      </c>
      <c r="K77" s="763"/>
      <c r="L77" s="763"/>
      <c r="M77" s="763"/>
      <c r="N77" s="763"/>
      <c r="O77" s="763"/>
      <c r="P77" s="763"/>
      <c r="Q77" s="842"/>
      <c r="R77" s="506" t="s">
        <v>33</v>
      </c>
    </row>
    <row r="78" spans="5:18" x14ac:dyDescent="0.25">
      <c r="E78" s="806"/>
      <c r="F78" s="505" t="s">
        <v>322</v>
      </c>
      <c r="G78" s="500">
        <v>44042</v>
      </c>
      <c r="H78" s="464">
        <v>175446</v>
      </c>
      <c r="I78" s="70">
        <f t="shared" si="15"/>
        <v>267.46570278234702</v>
      </c>
      <c r="J78" s="762" t="s">
        <v>372</v>
      </c>
      <c r="K78" s="763"/>
      <c r="L78" s="763"/>
      <c r="M78" s="763"/>
      <c r="N78" s="763"/>
      <c r="O78" s="763"/>
      <c r="P78" s="763"/>
      <c r="Q78" s="842"/>
      <c r="R78" s="506" t="s">
        <v>35</v>
      </c>
    </row>
    <row r="79" spans="5:18" x14ac:dyDescent="0.25">
      <c r="E79" s="806"/>
      <c r="F79" s="291">
        <v>2524753</v>
      </c>
      <c r="G79" s="500">
        <v>44032</v>
      </c>
      <c r="H79" s="464">
        <v>24600</v>
      </c>
      <c r="I79" s="70">
        <f t="shared" si="15"/>
        <v>37.502458240402952</v>
      </c>
      <c r="J79" s="838" t="s">
        <v>373</v>
      </c>
      <c r="K79" s="839"/>
      <c r="L79" s="839"/>
      <c r="M79" s="839"/>
      <c r="N79" s="839"/>
      <c r="O79" s="839"/>
      <c r="P79" s="839"/>
      <c r="Q79" s="843"/>
      <c r="R79" s="506" t="s">
        <v>33</v>
      </c>
    </row>
    <row r="80" spans="5:18" x14ac:dyDescent="0.25">
      <c r="E80" s="806"/>
      <c r="F80" s="291">
        <v>2524753</v>
      </c>
      <c r="G80" s="500">
        <v>44032</v>
      </c>
      <c r="H80" s="464">
        <v>24600</v>
      </c>
      <c r="I80" s="70">
        <f t="shared" si="15"/>
        <v>37.502458240402952</v>
      </c>
      <c r="J80" s="838" t="s">
        <v>374</v>
      </c>
      <c r="K80" s="839"/>
      <c r="L80" s="839"/>
      <c r="M80" s="839"/>
      <c r="N80" s="839"/>
      <c r="O80" s="839"/>
      <c r="P80" s="839"/>
      <c r="Q80" s="843"/>
      <c r="R80" s="506" t="s">
        <v>35</v>
      </c>
    </row>
    <row r="81" spans="5:18" ht="15.75" thickBot="1" x14ac:dyDescent="0.3">
      <c r="E81" s="806"/>
      <c r="F81" s="502"/>
      <c r="G81" s="500">
        <v>44034</v>
      </c>
      <c r="H81" s="464">
        <v>350000</v>
      </c>
      <c r="I81" s="70">
        <f t="shared" si="15"/>
        <v>533.57156033093634</v>
      </c>
      <c r="J81" s="762" t="s">
        <v>308</v>
      </c>
      <c r="K81" s="763"/>
      <c r="L81" s="763"/>
      <c r="M81" s="763"/>
      <c r="N81" s="763"/>
      <c r="O81" s="763"/>
      <c r="P81" s="763"/>
      <c r="Q81" s="842"/>
      <c r="R81" s="488" t="s">
        <v>375</v>
      </c>
    </row>
    <row r="82" spans="5:18" x14ac:dyDescent="0.25">
      <c r="E82" s="806"/>
      <c r="F82" s="88">
        <v>688</v>
      </c>
      <c r="G82" s="54">
        <v>44074</v>
      </c>
      <c r="H82" s="464">
        <v>175000</v>
      </c>
      <c r="I82" s="70">
        <f t="shared" ref="I82:I102" si="16">H82/$E$73</f>
        <v>266.78578016546817</v>
      </c>
      <c r="J82" s="844" t="s">
        <v>366</v>
      </c>
      <c r="K82" s="740"/>
      <c r="L82" s="740"/>
      <c r="M82" s="740"/>
      <c r="N82" s="740"/>
      <c r="O82" s="740"/>
      <c r="P82" s="740"/>
      <c r="Q82" s="845"/>
      <c r="R82" s="71" t="s">
        <v>95</v>
      </c>
    </row>
    <row r="83" spans="5:18" x14ac:dyDescent="0.25">
      <c r="E83" s="806"/>
      <c r="F83" s="89">
        <v>686</v>
      </c>
      <c r="G83" s="54">
        <v>44074</v>
      </c>
      <c r="H83" s="464">
        <v>175000</v>
      </c>
      <c r="I83" s="70">
        <f t="shared" si="16"/>
        <v>266.78578016546817</v>
      </c>
      <c r="J83" s="762" t="s">
        <v>368</v>
      </c>
      <c r="K83" s="763"/>
      <c r="L83" s="763"/>
      <c r="M83" s="763"/>
      <c r="N83" s="763"/>
      <c r="O83" s="763"/>
      <c r="P83" s="763"/>
      <c r="Q83" s="842"/>
      <c r="R83" s="71" t="s">
        <v>95</v>
      </c>
    </row>
    <row r="84" spans="5:18" x14ac:dyDescent="0.25">
      <c r="E84" s="806"/>
      <c r="F84" s="86">
        <v>687</v>
      </c>
      <c r="G84" s="54">
        <v>44074</v>
      </c>
      <c r="H84" s="464">
        <v>175000</v>
      </c>
      <c r="I84" s="70">
        <f t="shared" si="16"/>
        <v>266.78578016546817</v>
      </c>
      <c r="J84" s="762" t="s">
        <v>369</v>
      </c>
      <c r="K84" s="763"/>
      <c r="L84" s="763"/>
      <c r="M84" s="763"/>
      <c r="N84" s="763"/>
      <c r="O84" s="763"/>
      <c r="P84" s="763"/>
      <c r="Q84" s="842"/>
      <c r="R84" s="71" t="s">
        <v>95</v>
      </c>
    </row>
    <row r="85" spans="5:18" x14ac:dyDescent="0.25">
      <c r="E85" s="806"/>
      <c r="F85" s="86">
        <v>684</v>
      </c>
      <c r="G85" s="54">
        <v>44074</v>
      </c>
      <c r="H85" s="464">
        <v>175000</v>
      </c>
      <c r="I85" s="70">
        <f t="shared" si="16"/>
        <v>266.78578016546817</v>
      </c>
      <c r="J85" s="762" t="s">
        <v>370</v>
      </c>
      <c r="K85" s="763"/>
      <c r="L85" s="763"/>
      <c r="M85" s="763"/>
      <c r="N85" s="763"/>
      <c r="O85" s="763"/>
      <c r="P85" s="763"/>
      <c r="Q85" s="842"/>
      <c r="R85" s="71" t="s">
        <v>95</v>
      </c>
    </row>
    <row r="86" spans="5:18" x14ac:dyDescent="0.25">
      <c r="E86" s="806"/>
      <c r="F86" s="86"/>
      <c r="G86" s="54">
        <v>44074</v>
      </c>
      <c r="H86" s="464">
        <v>307800</v>
      </c>
      <c r="I86" s="70">
        <f t="shared" si="16"/>
        <v>469.23807505674915</v>
      </c>
      <c r="J86" s="762" t="s">
        <v>371</v>
      </c>
      <c r="K86" s="763"/>
      <c r="L86" s="763"/>
      <c r="M86" s="763"/>
      <c r="N86" s="763"/>
      <c r="O86" s="763"/>
      <c r="P86" s="763"/>
      <c r="Q86" s="842"/>
      <c r="R86" s="71" t="s">
        <v>33</v>
      </c>
    </row>
    <row r="87" spans="5:18" x14ac:dyDescent="0.25">
      <c r="E87" s="806"/>
      <c r="F87" s="86"/>
      <c r="G87" s="54">
        <v>44074</v>
      </c>
      <c r="H87" s="464">
        <v>175446</v>
      </c>
      <c r="I87" s="70">
        <f t="shared" si="16"/>
        <v>267.46570278234702</v>
      </c>
      <c r="J87" s="762" t="s">
        <v>372</v>
      </c>
      <c r="K87" s="763"/>
      <c r="L87" s="763"/>
      <c r="M87" s="763"/>
      <c r="N87" s="763"/>
      <c r="O87" s="763"/>
      <c r="P87" s="763"/>
      <c r="Q87" s="842"/>
      <c r="R87" s="71" t="s">
        <v>35</v>
      </c>
    </row>
    <row r="88" spans="5:18" x14ac:dyDescent="0.25">
      <c r="E88" s="806"/>
      <c r="F88" s="89"/>
      <c r="G88" s="54">
        <v>44067</v>
      </c>
      <c r="H88" s="464">
        <v>24600</v>
      </c>
      <c r="I88" s="70">
        <f t="shared" si="16"/>
        <v>37.502458240402952</v>
      </c>
      <c r="J88" s="838" t="s">
        <v>373</v>
      </c>
      <c r="K88" s="839"/>
      <c r="L88" s="839"/>
      <c r="M88" s="839"/>
      <c r="N88" s="839"/>
      <c r="O88" s="839"/>
      <c r="P88" s="839"/>
      <c r="Q88" s="843"/>
      <c r="R88" s="71" t="s">
        <v>33</v>
      </c>
    </row>
    <row r="89" spans="5:18" x14ac:dyDescent="0.25">
      <c r="E89" s="806"/>
      <c r="F89" s="89"/>
      <c r="G89" s="54">
        <v>44067</v>
      </c>
      <c r="H89" s="464">
        <v>24600</v>
      </c>
      <c r="I89" s="70">
        <f t="shared" si="16"/>
        <v>37.502458240402952</v>
      </c>
      <c r="J89" s="838" t="s">
        <v>374</v>
      </c>
      <c r="K89" s="839"/>
      <c r="L89" s="839"/>
      <c r="M89" s="839"/>
      <c r="N89" s="839"/>
      <c r="O89" s="839"/>
      <c r="P89" s="839"/>
      <c r="Q89" s="843"/>
      <c r="R89" s="71" t="s">
        <v>95</v>
      </c>
    </row>
    <row r="90" spans="5:18" ht="15.75" thickBot="1" x14ac:dyDescent="0.3">
      <c r="E90" s="806"/>
      <c r="F90" s="88"/>
      <c r="G90" s="54">
        <v>44067</v>
      </c>
      <c r="H90" s="464">
        <v>350000</v>
      </c>
      <c r="I90" s="70">
        <f t="shared" si="16"/>
        <v>533.57156033093634</v>
      </c>
      <c r="J90" s="846" t="s">
        <v>308</v>
      </c>
      <c r="K90" s="847"/>
      <c r="L90" s="847"/>
      <c r="M90" s="847"/>
      <c r="N90" s="847"/>
      <c r="O90" s="847"/>
      <c r="P90" s="847"/>
      <c r="Q90" s="848"/>
      <c r="R90" s="71" t="s">
        <v>34</v>
      </c>
    </row>
    <row r="91" spans="5:18" x14ac:dyDescent="0.25">
      <c r="E91" s="806"/>
      <c r="F91" s="88">
        <v>689</v>
      </c>
      <c r="G91" s="54">
        <v>44104</v>
      </c>
      <c r="H91" s="219">
        <v>175000</v>
      </c>
      <c r="I91" s="70">
        <f t="shared" ref="I91:I99" si="17">H91/$E$73</f>
        <v>266.78578016546817</v>
      </c>
      <c r="J91" s="844" t="s">
        <v>366</v>
      </c>
      <c r="K91" s="740"/>
      <c r="L91" s="740"/>
      <c r="M91" s="740"/>
      <c r="N91" s="740"/>
      <c r="O91" s="740"/>
      <c r="P91" s="740"/>
      <c r="Q91" s="845"/>
      <c r="R91" s="71" t="s">
        <v>95</v>
      </c>
    </row>
    <row r="92" spans="5:18" x14ac:dyDescent="0.25">
      <c r="E92" s="806"/>
      <c r="F92" s="89">
        <v>690</v>
      </c>
      <c r="G92" s="54">
        <f>G91</f>
        <v>44104</v>
      </c>
      <c r="H92" s="219">
        <v>175000</v>
      </c>
      <c r="I92" s="70">
        <f t="shared" si="17"/>
        <v>266.78578016546817</v>
      </c>
      <c r="J92" s="762" t="s">
        <v>368</v>
      </c>
      <c r="K92" s="763"/>
      <c r="L92" s="763"/>
      <c r="M92" s="763"/>
      <c r="N92" s="763"/>
      <c r="O92" s="763"/>
      <c r="P92" s="763"/>
      <c r="Q92" s="842"/>
      <c r="R92" s="71" t="s">
        <v>95</v>
      </c>
    </row>
    <row r="93" spans="5:18" x14ac:dyDescent="0.25">
      <c r="E93" s="806"/>
      <c r="F93" s="86">
        <v>691</v>
      </c>
      <c r="G93" s="54">
        <f t="shared" ref="G93:G96" si="18">G92</f>
        <v>44104</v>
      </c>
      <c r="H93" s="219">
        <v>175000</v>
      </c>
      <c r="I93" s="70">
        <f t="shared" si="17"/>
        <v>266.78578016546817</v>
      </c>
      <c r="J93" s="762" t="s">
        <v>369</v>
      </c>
      <c r="K93" s="763"/>
      <c r="L93" s="763"/>
      <c r="M93" s="763"/>
      <c r="N93" s="763"/>
      <c r="O93" s="763"/>
      <c r="P93" s="763"/>
      <c r="Q93" s="842"/>
      <c r="R93" s="71" t="s">
        <v>95</v>
      </c>
    </row>
    <row r="94" spans="5:18" x14ac:dyDescent="0.25">
      <c r="E94" s="806"/>
      <c r="F94" s="86">
        <v>692</v>
      </c>
      <c r="G94" s="54">
        <f t="shared" si="18"/>
        <v>44104</v>
      </c>
      <c r="H94" s="219">
        <v>175000</v>
      </c>
      <c r="I94" s="70">
        <f t="shared" si="17"/>
        <v>266.78578016546817</v>
      </c>
      <c r="J94" s="762" t="s">
        <v>370</v>
      </c>
      <c r="K94" s="763"/>
      <c r="L94" s="763"/>
      <c r="M94" s="763"/>
      <c r="N94" s="763"/>
      <c r="O94" s="763"/>
      <c r="P94" s="763"/>
      <c r="Q94" s="842"/>
      <c r="R94" s="71" t="s">
        <v>95</v>
      </c>
    </row>
    <row r="95" spans="5:18" x14ac:dyDescent="0.25">
      <c r="E95" s="806"/>
      <c r="F95" s="86"/>
      <c r="G95" s="54">
        <f t="shared" si="18"/>
        <v>44104</v>
      </c>
      <c r="H95" s="219">
        <v>307800</v>
      </c>
      <c r="I95" s="70">
        <f t="shared" si="17"/>
        <v>469.23807505674915</v>
      </c>
      <c r="J95" s="762" t="s">
        <v>371</v>
      </c>
      <c r="K95" s="763"/>
      <c r="L95" s="763"/>
      <c r="M95" s="763"/>
      <c r="N95" s="763"/>
      <c r="O95" s="763"/>
      <c r="P95" s="763"/>
      <c r="Q95" s="842"/>
      <c r="R95" s="71" t="s">
        <v>33</v>
      </c>
    </row>
    <row r="96" spans="5:18" x14ac:dyDescent="0.25">
      <c r="E96" s="806"/>
      <c r="F96" s="86"/>
      <c r="G96" s="54">
        <f t="shared" si="18"/>
        <v>44104</v>
      </c>
      <c r="H96" s="219">
        <v>175446</v>
      </c>
      <c r="I96" s="70">
        <f t="shared" si="17"/>
        <v>267.46570278234702</v>
      </c>
      <c r="J96" s="762" t="s">
        <v>372</v>
      </c>
      <c r="K96" s="763"/>
      <c r="L96" s="763"/>
      <c r="M96" s="763"/>
      <c r="N96" s="763"/>
      <c r="O96" s="763"/>
      <c r="P96" s="763"/>
      <c r="Q96" s="842"/>
      <c r="R96" s="71" t="s">
        <v>35</v>
      </c>
    </row>
    <row r="97" spans="5:18" x14ac:dyDescent="0.25">
      <c r="E97" s="806"/>
      <c r="F97" s="89"/>
      <c r="G97" s="54">
        <v>44097</v>
      </c>
      <c r="H97" s="219">
        <v>24600</v>
      </c>
      <c r="I97" s="70">
        <f t="shared" si="17"/>
        <v>37.502458240402952</v>
      </c>
      <c r="J97" s="838" t="s">
        <v>373</v>
      </c>
      <c r="K97" s="839"/>
      <c r="L97" s="839"/>
      <c r="M97" s="839"/>
      <c r="N97" s="839"/>
      <c r="O97" s="839"/>
      <c r="P97" s="839"/>
      <c r="Q97" s="843"/>
      <c r="R97" s="71" t="s">
        <v>33</v>
      </c>
    </row>
    <row r="98" spans="5:18" x14ac:dyDescent="0.25">
      <c r="E98" s="806"/>
      <c r="F98" s="89"/>
      <c r="G98" s="54">
        <v>44097</v>
      </c>
      <c r="H98" s="219">
        <v>24600</v>
      </c>
      <c r="I98" s="70">
        <f t="shared" si="17"/>
        <v>37.502458240402952</v>
      </c>
      <c r="J98" s="838" t="s">
        <v>374</v>
      </c>
      <c r="K98" s="839"/>
      <c r="L98" s="839"/>
      <c r="M98" s="839"/>
      <c r="N98" s="839"/>
      <c r="O98" s="839"/>
      <c r="P98" s="839"/>
      <c r="Q98" s="843"/>
      <c r="R98" s="71" t="s">
        <v>95</v>
      </c>
    </row>
    <row r="99" spans="5:18" x14ac:dyDescent="0.25">
      <c r="E99" s="806"/>
      <c r="F99" s="88"/>
      <c r="G99" s="54">
        <v>44097</v>
      </c>
      <c r="H99" s="219">
        <v>350000</v>
      </c>
      <c r="I99" s="70">
        <f t="shared" si="17"/>
        <v>533.57156033093634</v>
      </c>
      <c r="J99" s="762" t="s">
        <v>496</v>
      </c>
      <c r="K99" s="763"/>
      <c r="L99" s="763"/>
      <c r="M99" s="763"/>
      <c r="N99" s="763"/>
      <c r="O99" s="763"/>
      <c r="P99" s="763"/>
      <c r="Q99" s="842"/>
      <c r="R99" s="71" t="s">
        <v>34</v>
      </c>
    </row>
    <row r="100" spans="5:18" x14ac:dyDescent="0.25">
      <c r="E100" s="806"/>
      <c r="F100" s="88"/>
      <c r="G100" s="54"/>
      <c r="H100" s="464"/>
      <c r="I100" s="70">
        <f t="shared" si="16"/>
        <v>0</v>
      </c>
      <c r="J100" s="849"/>
      <c r="K100" s="779"/>
      <c r="L100" s="779"/>
      <c r="M100" s="779"/>
      <c r="N100" s="779"/>
      <c r="O100" s="779"/>
      <c r="P100" s="779"/>
      <c r="Q100" s="850"/>
      <c r="R100" s="71"/>
    </row>
    <row r="101" spans="5:18" x14ac:dyDescent="0.25">
      <c r="E101" s="806"/>
      <c r="F101" s="89"/>
      <c r="G101" s="54"/>
      <c r="H101" s="214"/>
      <c r="I101" s="70">
        <f t="shared" si="16"/>
        <v>0</v>
      </c>
      <c r="J101" s="762"/>
      <c r="K101" s="763"/>
      <c r="L101" s="763"/>
      <c r="M101" s="763"/>
      <c r="N101" s="763"/>
      <c r="O101" s="763"/>
      <c r="P101" s="763"/>
      <c r="Q101" s="842"/>
      <c r="R101" s="71"/>
    </row>
    <row r="102" spans="5:18" ht="15.75" thickBot="1" x14ac:dyDescent="0.3">
      <c r="E102" s="841"/>
      <c r="F102" s="90"/>
      <c r="G102" s="91"/>
      <c r="H102" s="92"/>
      <c r="I102" s="70">
        <f t="shared" si="16"/>
        <v>0</v>
      </c>
      <c r="J102" s="762"/>
      <c r="K102" s="763"/>
      <c r="L102" s="763"/>
      <c r="M102" s="763"/>
      <c r="N102" s="763"/>
      <c r="O102" s="763"/>
      <c r="P102" s="763"/>
      <c r="Q102" s="842"/>
      <c r="R102" s="71"/>
    </row>
    <row r="103" spans="5:18" ht="14.45" thickBot="1" x14ac:dyDescent="0.3">
      <c r="E103" s="64"/>
      <c r="F103" s="736" t="s">
        <v>55</v>
      </c>
      <c r="G103" s="737"/>
      <c r="H103" s="84">
        <f>SUM(H73:H102)</f>
        <v>4747338</v>
      </c>
      <c r="I103" s="191">
        <f>SUM(I73:I102)</f>
        <v>7237.2701259381329</v>
      </c>
      <c r="J103" s="534"/>
      <c r="K103" s="534"/>
      <c r="L103" s="534"/>
      <c r="M103" s="534"/>
      <c r="N103" s="534"/>
      <c r="O103" s="534"/>
      <c r="P103" s="534"/>
      <c r="Q103" s="535"/>
      <c r="R103" s="66"/>
    </row>
    <row r="104" spans="5:18" ht="14.45" thickBot="1" x14ac:dyDescent="0.3">
      <c r="E104" s="85">
        <v>1</v>
      </c>
      <c r="F104" s="95"/>
      <c r="G104" s="54">
        <v>44131</v>
      </c>
      <c r="H104" s="219">
        <v>175000</v>
      </c>
      <c r="I104" s="70">
        <f t="shared" ref="I104:I112" si="19">H104/$E$73</f>
        <v>266.78578016546817</v>
      </c>
      <c r="J104" s="844" t="s">
        <v>366</v>
      </c>
      <c r="K104" s="740"/>
      <c r="L104" s="740"/>
      <c r="M104" s="740"/>
      <c r="N104" s="740"/>
      <c r="O104" s="740"/>
      <c r="P104" s="740"/>
      <c r="Q104" s="845"/>
      <c r="R104" s="71" t="s">
        <v>95</v>
      </c>
    </row>
    <row r="105" spans="5:18" x14ac:dyDescent="0.25">
      <c r="E105" s="783"/>
      <c r="F105" s="53"/>
      <c r="G105" s="54">
        <v>44131</v>
      </c>
      <c r="H105" s="219">
        <v>175000</v>
      </c>
      <c r="I105" s="70">
        <f t="shared" si="19"/>
        <v>266.78578016546817</v>
      </c>
      <c r="J105" s="762" t="s">
        <v>368</v>
      </c>
      <c r="K105" s="763"/>
      <c r="L105" s="763"/>
      <c r="M105" s="763"/>
      <c r="N105" s="763"/>
      <c r="O105" s="763"/>
      <c r="P105" s="763"/>
      <c r="Q105" s="842"/>
      <c r="R105" s="71" t="s">
        <v>95</v>
      </c>
    </row>
    <row r="106" spans="5:18" x14ac:dyDescent="0.25">
      <c r="E106" s="784"/>
      <c r="F106" s="53"/>
      <c r="G106" s="54">
        <v>44131</v>
      </c>
      <c r="H106" s="219">
        <v>175000</v>
      </c>
      <c r="I106" s="70">
        <f t="shared" si="19"/>
        <v>266.78578016546817</v>
      </c>
      <c r="J106" s="762" t="s">
        <v>369</v>
      </c>
      <c r="K106" s="763"/>
      <c r="L106" s="763"/>
      <c r="M106" s="763"/>
      <c r="N106" s="763"/>
      <c r="O106" s="763"/>
      <c r="P106" s="763"/>
      <c r="Q106" s="842"/>
      <c r="R106" s="71" t="s">
        <v>95</v>
      </c>
    </row>
    <row r="107" spans="5:18" x14ac:dyDescent="0.25">
      <c r="E107" s="784"/>
      <c r="F107" s="53"/>
      <c r="G107" s="54">
        <v>44131</v>
      </c>
      <c r="H107" s="219">
        <v>175000</v>
      </c>
      <c r="I107" s="70">
        <f t="shared" si="19"/>
        <v>266.78578016546817</v>
      </c>
      <c r="J107" s="762" t="s">
        <v>370</v>
      </c>
      <c r="K107" s="763"/>
      <c r="L107" s="763"/>
      <c r="M107" s="763"/>
      <c r="N107" s="763"/>
      <c r="O107" s="763"/>
      <c r="P107" s="763"/>
      <c r="Q107" s="842"/>
      <c r="R107" s="71" t="s">
        <v>95</v>
      </c>
    </row>
    <row r="108" spans="5:18" x14ac:dyDescent="0.25">
      <c r="E108" s="784"/>
      <c r="F108" s="53"/>
      <c r="G108" s="54">
        <v>44131</v>
      </c>
      <c r="H108" s="219">
        <v>307800</v>
      </c>
      <c r="I108" s="70">
        <f t="shared" si="19"/>
        <v>469.23807505674915</v>
      </c>
      <c r="J108" s="762" t="s">
        <v>371</v>
      </c>
      <c r="K108" s="763"/>
      <c r="L108" s="763"/>
      <c r="M108" s="763"/>
      <c r="N108" s="763"/>
      <c r="O108" s="763"/>
      <c r="P108" s="763"/>
      <c r="Q108" s="842"/>
      <c r="R108" s="71" t="s">
        <v>33</v>
      </c>
    </row>
    <row r="109" spans="5:18" x14ac:dyDescent="0.25">
      <c r="E109" s="784"/>
      <c r="F109" s="53"/>
      <c r="G109" s="54">
        <v>44131</v>
      </c>
      <c r="H109" s="219">
        <v>175446</v>
      </c>
      <c r="I109" s="70">
        <f t="shared" si="19"/>
        <v>267.46570278234702</v>
      </c>
      <c r="J109" s="762" t="s">
        <v>372</v>
      </c>
      <c r="K109" s="763"/>
      <c r="L109" s="763"/>
      <c r="M109" s="763"/>
      <c r="N109" s="763"/>
      <c r="O109" s="763"/>
      <c r="P109" s="763"/>
      <c r="Q109" s="842"/>
      <c r="R109" s="71" t="s">
        <v>35</v>
      </c>
    </row>
    <row r="110" spans="5:18" x14ac:dyDescent="0.25">
      <c r="E110" s="784"/>
      <c r="F110" s="53"/>
      <c r="G110" s="54">
        <v>44131</v>
      </c>
      <c r="H110" s="219">
        <v>24600</v>
      </c>
      <c r="I110" s="70">
        <f t="shared" si="19"/>
        <v>37.502458240402952</v>
      </c>
      <c r="J110" s="838" t="s">
        <v>373</v>
      </c>
      <c r="K110" s="839"/>
      <c r="L110" s="839"/>
      <c r="M110" s="839"/>
      <c r="N110" s="839"/>
      <c r="O110" s="839"/>
      <c r="P110" s="839"/>
      <c r="Q110" s="843"/>
      <c r="R110" s="71" t="s">
        <v>33</v>
      </c>
    </row>
    <row r="111" spans="5:18" x14ac:dyDescent="0.25">
      <c r="E111" s="784"/>
      <c r="F111" s="53"/>
      <c r="G111" s="54">
        <v>44131</v>
      </c>
      <c r="H111" s="219">
        <v>24600</v>
      </c>
      <c r="I111" s="70">
        <f t="shared" si="19"/>
        <v>37.502458240402952</v>
      </c>
      <c r="J111" s="838" t="s">
        <v>374</v>
      </c>
      <c r="K111" s="839"/>
      <c r="L111" s="839"/>
      <c r="M111" s="839"/>
      <c r="N111" s="839"/>
      <c r="O111" s="839"/>
      <c r="P111" s="839"/>
      <c r="Q111" s="843"/>
      <c r="R111" s="71" t="s">
        <v>35</v>
      </c>
    </row>
    <row r="112" spans="5:18" x14ac:dyDescent="0.25">
      <c r="E112" s="784"/>
      <c r="F112" s="53"/>
      <c r="G112" s="54"/>
      <c r="H112" s="219"/>
      <c r="I112" s="70">
        <f t="shared" si="19"/>
        <v>0</v>
      </c>
      <c r="J112" s="849"/>
      <c r="K112" s="779"/>
      <c r="L112" s="779"/>
      <c r="M112" s="779"/>
      <c r="N112" s="779"/>
      <c r="O112" s="779"/>
      <c r="P112" s="779"/>
      <c r="Q112" s="780"/>
      <c r="R112" s="71"/>
    </row>
    <row r="113" spans="5:18" x14ac:dyDescent="0.25">
      <c r="E113" s="784"/>
      <c r="F113" s="53"/>
      <c r="G113" s="97"/>
      <c r="H113" s="97"/>
      <c r="I113" s="70">
        <f t="shared" ref="I113:I116" si="20">H113/$E$104</f>
        <v>0</v>
      </c>
      <c r="J113" s="849"/>
      <c r="K113" s="779"/>
      <c r="L113" s="779"/>
      <c r="M113" s="779"/>
      <c r="N113" s="779"/>
      <c r="O113" s="779"/>
      <c r="P113" s="779"/>
      <c r="Q113" s="780"/>
      <c r="R113" s="71"/>
    </row>
    <row r="114" spans="5:18" x14ac:dyDescent="0.25">
      <c r="E114" s="784"/>
      <c r="F114" s="53"/>
      <c r="G114" s="97"/>
      <c r="H114" s="97"/>
      <c r="I114" s="70">
        <f t="shared" si="20"/>
        <v>0</v>
      </c>
      <c r="J114" s="765"/>
      <c r="K114" s="765"/>
      <c r="L114" s="765"/>
      <c r="M114" s="765"/>
      <c r="N114" s="765"/>
      <c r="O114" s="765"/>
      <c r="P114" s="765"/>
      <c r="Q114" s="766"/>
      <c r="R114" s="71"/>
    </row>
    <row r="115" spans="5:18" x14ac:dyDescent="0.25">
      <c r="E115" s="784"/>
      <c r="F115" s="53"/>
      <c r="G115" s="97"/>
      <c r="H115" s="97"/>
      <c r="I115" s="70">
        <f t="shared" si="20"/>
        <v>0</v>
      </c>
      <c r="J115" s="765"/>
      <c r="K115" s="765"/>
      <c r="L115" s="765"/>
      <c r="M115" s="765"/>
      <c r="N115" s="765"/>
      <c r="O115" s="765"/>
      <c r="P115" s="765"/>
      <c r="Q115" s="766"/>
      <c r="R115" s="71"/>
    </row>
    <row r="116" spans="5:18" ht="15.75" thickBot="1" x14ac:dyDescent="0.3">
      <c r="E116" s="784"/>
      <c r="F116" s="98"/>
      <c r="G116" s="99"/>
      <c r="H116" s="99"/>
      <c r="I116" s="70">
        <f t="shared" si="20"/>
        <v>0</v>
      </c>
      <c r="J116" s="755"/>
      <c r="K116" s="755"/>
      <c r="L116" s="755"/>
      <c r="M116" s="755"/>
      <c r="N116" s="755"/>
      <c r="O116" s="755"/>
      <c r="P116" s="755"/>
      <c r="Q116" s="756"/>
      <c r="R116" s="94"/>
    </row>
    <row r="117" spans="5:18" ht="14.45" thickBot="1" x14ac:dyDescent="0.3">
      <c r="E117" s="64"/>
      <c r="F117" s="736" t="s">
        <v>56</v>
      </c>
      <c r="G117" s="769"/>
      <c r="H117" s="84">
        <f>SUM(H104:H116)</f>
        <v>1232446</v>
      </c>
      <c r="I117" s="191">
        <f>SUM(I104:I116)</f>
        <v>1878.8518149817749</v>
      </c>
      <c r="J117" s="738"/>
      <c r="K117" s="767"/>
      <c r="L117" s="767"/>
      <c r="M117" s="767"/>
      <c r="N117" s="767"/>
      <c r="O117" s="767"/>
      <c r="P117" s="767"/>
      <c r="Q117" s="768"/>
      <c r="R117" s="66"/>
    </row>
    <row r="118" spans="5:18" ht="15.75" thickBot="1" x14ac:dyDescent="0.3">
      <c r="E118" s="100"/>
      <c r="F118" s="101" t="s">
        <v>60</v>
      </c>
      <c r="G118" s="102"/>
      <c r="H118" s="103">
        <f>SUM(H117,H103,H72,H42)</f>
        <v>14549460</v>
      </c>
      <c r="I118" s="103">
        <f>SUM(I117,I103,I72,I42)</f>
        <v>22180.508783350127</v>
      </c>
      <c r="J118" s="757"/>
      <c r="K118" s="757"/>
      <c r="L118" s="757"/>
      <c r="M118" s="757"/>
      <c r="N118" s="757"/>
      <c r="O118" s="757"/>
      <c r="P118" s="757"/>
      <c r="Q118" s="758"/>
      <c r="R118" s="104"/>
    </row>
  </sheetData>
  <autoFilter ref="E15:R118" xr:uid="{00000000-0009-0000-0000-000005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22">
    <mergeCell ref="J77:Q77"/>
    <mergeCell ref="J118:Q118"/>
    <mergeCell ref="F103:G103"/>
    <mergeCell ref="J107:Q107"/>
    <mergeCell ref="J114:Q114"/>
    <mergeCell ref="E105:E116"/>
    <mergeCell ref="J115:Q115"/>
    <mergeCell ref="J116:Q116"/>
    <mergeCell ref="J104:Q104"/>
    <mergeCell ref="J105:Q105"/>
    <mergeCell ref="J106:Q106"/>
    <mergeCell ref="J108:Q108"/>
    <mergeCell ref="J109:Q109"/>
    <mergeCell ref="J110:Q110"/>
    <mergeCell ref="J111:Q111"/>
    <mergeCell ref="J112:Q112"/>
    <mergeCell ref="J113:Q113"/>
    <mergeCell ref="J74:Q74"/>
    <mergeCell ref="J75:Q75"/>
    <mergeCell ref="F72:G72"/>
    <mergeCell ref="J70:Q70"/>
    <mergeCell ref="J76:Q76"/>
    <mergeCell ref="J67:Q67"/>
    <mergeCell ref="J69:Q69"/>
    <mergeCell ref="F117:G117"/>
    <mergeCell ref="J117:Q117"/>
    <mergeCell ref="J68:Q68"/>
    <mergeCell ref="J89:Q89"/>
    <mergeCell ref="J86:Q86"/>
    <mergeCell ref="J87:Q87"/>
    <mergeCell ref="J91:Q91"/>
    <mergeCell ref="J92:Q92"/>
    <mergeCell ref="J93:Q93"/>
    <mergeCell ref="J94:Q94"/>
    <mergeCell ref="J95:Q95"/>
    <mergeCell ref="J96:Q96"/>
    <mergeCell ref="J97:Q97"/>
    <mergeCell ref="J98:Q98"/>
    <mergeCell ref="J99:Q99"/>
    <mergeCell ref="J100:Q100"/>
    <mergeCell ref="J102:Q102"/>
    <mergeCell ref="J51:Q51"/>
    <mergeCell ref="J52:Q52"/>
    <mergeCell ref="J53:Q53"/>
    <mergeCell ref="J54:Q54"/>
    <mergeCell ref="E74:E102"/>
    <mergeCell ref="J78:Q78"/>
    <mergeCell ref="J79:Q79"/>
    <mergeCell ref="J80:Q80"/>
    <mergeCell ref="J81:Q81"/>
    <mergeCell ref="J101:Q101"/>
    <mergeCell ref="J73:Q73"/>
    <mergeCell ref="J71:Q71"/>
    <mergeCell ref="E44:E71"/>
    <mergeCell ref="J47:Q47"/>
    <mergeCell ref="J82:Q82"/>
    <mergeCell ref="J83:Q83"/>
    <mergeCell ref="J84:Q84"/>
    <mergeCell ref="J85:Q85"/>
    <mergeCell ref="J88:Q88"/>
    <mergeCell ref="J90:Q90"/>
    <mergeCell ref="J59:Q59"/>
    <mergeCell ref="J60:Q60"/>
    <mergeCell ref="J61:Q61"/>
    <mergeCell ref="J62:Q62"/>
    <mergeCell ref="J66:Q66"/>
    <mergeCell ref="J33:Q33"/>
    <mergeCell ref="J34:Q34"/>
    <mergeCell ref="J42:Q42"/>
    <mergeCell ref="J36:Q36"/>
    <mergeCell ref="J37:Q37"/>
    <mergeCell ref="J38:Q38"/>
    <mergeCell ref="J39:Q39"/>
    <mergeCell ref="J40:Q40"/>
    <mergeCell ref="J41:Q41"/>
    <mergeCell ref="J43:Q43"/>
    <mergeCell ref="J44:Q44"/>
    <mergeCell ref="J45:Q45"/>
    <mergeCell ref="J55:Q55"/>
    <mergeCell ref="J56:Q56"/>
    <mergeCell ref="J57:Q57"/>
    <mergeCell ref="J58:Q58"/>
    <mergeCell ref="J64:Q64"/>
    <mergeCell ref="J65:Q65"/>
    <mergeCell ref="J46:Q46"/>
    <mergeCell ref="J63:Q63"/>
    <mergeCell ref="J48:Q48"/>
    <mergeCell ref="J49:Q49"/>
    <mergeCell ref="J50:Q50"/>
    <mergeCell ref="J19:Q19"/>
    <mergeCell ref="J27:Q27"/>
    <mergeCell ref="J30:Q30"/>
    <mergeCell ref="J21:Q21"/>
    <mergeCell ref="J29:Q29"/>
    <mergeCell ref="J20:Q20"/>
    <mergeCell ref="J28:Q28"/>
    <mergeCell ref="J31:Q31"/>
    <mergeCell ref="J32:Q32"/>
    <mergeCell ref="F42:G42"/>
    <mergeCell ref="J15:Q15"/>
    <mergeCell ref="J16:Q16"/>
    <mergeCell ref="E17:E41"/>
    <mergeCell ref="J17:Q17"/>
    <mergeCell ref="N3:P3"/>
    <mergeCell ref="Q3:S3"/>
    <mergeCell ref="B5:D5"/>
    <mergeCell ref="E5:S5"/>
    <mergeCell ref="B10:D10"/>
    <mergeCell ref="E14:R14"/>
    <mergeCell ref="B3:B4"/>
    <mergeCell ref="C3:C4"/>
    <mergeCell ref="D3:D4"/>
    <mergeCell ref="E3:G3"/>
    <mergeCell ref="H3:J3"/>
    <mergeCell ref="K3:M3"/>
    <mergeCell ref="J18:Q18"/>
    <mergeCell ref="J23:Q23"/>
    <mergeCell ref="J24:Q24"/>
    <mergeCell ref="J25:Q25"/>
    <mergeCell ref="J26:Q26"/>
    <mergeCell ref="J35:Q35"/>
    <mergeCell ref="J22:Q22"/>
  </mergeCells>
  <dataValidations count="1">
    <dataValidation type="list" allowBlank="1" showInputMessage="1" showErrorMessage="1" sqref="R16:R72 R82:R118" xr:uid="{00000000-0002-0000-0500-000000000000}">
      <formula1>$E$13:$H$13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56"/>
  <sheetViews>
    <sheetView topLeftCell="E127" workbookViewId="0">
      <selection activeCell="J147" sqref="J147:Q147"/>
    </sheetView>
  </sheetViews>
  <sheetFormatPr baseColWidth="10" defaultColWidth="11.42578125" defaultRowHeight="15" x14ac:dyDescent="0.25"/>
  <cols>
    <col min="1" max="4" width="11.42578125" style="2"/>
    <col min="5" max="5" width="13.42578125" style="2" customWidth="1"/>
    <col min="6" max="6" width="12.42578125" style="2" customWidth="1"/>
    <col min="7" max="7" width="14.42578125" style="2" customWidth="1"/>
    <col min="8" max="8" width="16.28515625" style="2" customWidth="1"/>
    <col min="9" max="9" width="13.140625" style="2" bestFit="1" customWidth="1"/>
    <col min="10" max="10" width="12.85546875" style="2" customWidth="1"/>
    <col min="11" max="11" width="13" style="2" customWidth="1"/>
    <col min="12" max="12" width="13.42578125" style="2" customWidth="1"/>
    <col min="13" max="13" width="13.28515625" style="2" customWidth="1"/>
    <col min="14" max="14" width="13.42578125" style="2" customWidth="1"/>
    <col min="15" max="15" width="11.42578125" style="2"/>
    <col min="16" max="16" width="12.42578125" style="2" customWidth="1"/>
    <col min="17" max="18" width="13" style="2" customWidth="1"/>
    <col min="19" max="19" width="13.140625" style="2" customWidth="1"/>
    <col min="20" max="16384" width="11.42578125" style="2"/>
  </cols>
  <sheetData>
    <row r="2" spans="2:19" ht="14.45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4.45" thickBot="1" x14ac:dyDescent="0.3">
      <c r="B5" s="699" t="s">
        <v>127</v>
      </c>
      <c r="C5" s="700"/>
      <c r="D5" s="701"/>
      <c r="E5" s="686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8"/>
    </row>
    <row r="6" spans="2:19" ht="15.6" x14ac:dyDescent="0.3">
      <c r="B6" s="115" t="s">
        <v>36</v>
      </c>
      <c r="C6" s="171" t="s">
        <v>100</v>
      </c>
      <c r="D6" s="130"/>
      <c r="E6" s="106">
        <v>137.21</v>
      </c>
      <c r="F6" s="107">
        <f>I26+I27+I31+I38+I41+I42+I43+I44+I45+I46+I47+I48</f>
        <v>76.224508618705187</v>
      </c>
      <c r="G6" s="108">
        <f t="shared" ref="G6:G13" si="0">E6-F6</f>
        <v>60.985491381294821</v>
      </c>
      <c r="H6" s="106">
        <v>137.21</v>
      </c>
      <c r="I6" s="107">
        <f>I62+I63+I64+I70+I71+I72+I73+I69</f>
        <v>53.509605050331039</v>
      </c>
      <c r="J6" s="108">
        <f t="shared" ref="J6:J13" si="1">H6-I6</f>
        <v>83.700394949668976</v>
      </c>
      <c r="K6" s="106">
        <v>137.19999999999999</v>
      </c>
      <c r="L6" s="107">
        <f>I82+I83+I85+I86+I87+I88+I89+I95+I96+I101+I103+I105+I106+I107+I108+I109+I110+I111+I112+I113+I114</f>
        <v>271.35925068259036</v>
      </c>
      <c r="M6" s="108">
        <f t="shared" ref="M6:M13" si="2">K6-L6</f>
        <v>-134.15925068259037</v>
      </c>
      <c r="N6" s="106">
        <v>137.19999999999999</v>
      </c>
      <c r="O6" s="107">
        <f>I124+I125+I126+I127+I129+I130+I131+I132+I133+I134+I137+I138</f>
        <v>203.06209096023059</v>
      </c>
      <c r="P6" s="109">
        <f t="shared" ref="P6:P13" si="3">N6-O6</f>
        <v>-65.862090960230603</v>
      </c>
      <c r="Q6" s="110">
        <f t="shared" ref="Q6:R14" si="4">N6+K6+H6+E6</f>
        <v>548.82000000000005</v>
      </c>
      <c r="R6" s="111">
        <f t="shared" si="4"/>
        <v>604.15545531185717</v>
      </c>
      <c r="S6" s="112">
        <f t="shared" ref="S6:S14" si="5">Q6-R6</f>
        <v>-55.335455311857118</v>
      </c>
    </row>
    <row r="7" spans="2:19" ht="15.75" x14ac:dyDescent="0.25">
      <c r="B7" s="119" t="s">
        <v>37</v>
      </c>
      <c r="C7" s="171" t="s">
        <v>101</v>
      </c>
      <c r="D7" s="131"/>
      <c r="E7" s="28">
        <v>228.67</v>
      </c>
      <c r="F7" s="29"/>
      <c r="G7" s="24">
        <f t="shared" si="0"/>
        <v>228.67</v>
      </c>
      <c r="H7" s="28">
        <v>228.67</v>
      </c>
      <c r="I7" s="29"/>
      <c r="J7" s="24">
        <f t="shared" si="1"/>
        <v>228.67</v>
      </c>
      <c r="K7" s="28">
        <v>228.67</v>
      </c>
      <c r="L7" s="29"/>
      <c r="M7" s="24">
        <f t="shared" si="2"/>
        <v>228.67</v>
      </c>
      <c r="N7" s="28">
        <v>228.68</v>
      </c>
      <c r="O7" s="29">
        <f>I136</f>
        <v>37.350009223165543</v>
      </c>
      <c r="P7" s="25">
        <f t="shared" si="3"/>
        <v>191.32999077683445</v>
      </c>
      <c r="Q7" s="22">
        <f t="shared" si="4"/>
        <v>914.68999999999994</v>
      </c>
      <c r="R7" s="23">
        <f t="shared" si="4"/>
        <v>37.350009223165543</v>
      </c>
      <c r="S7" s="26">
        <f t="shared" si="5"/>
        <v>877.33999077683438</v>
      </c>
    </row>
    <row r="8" spans="2:19" ht="15.75" x14ac:dyDescent="0.25">
      <c r="B8" s="119" t="s">
        <v>38</v>
      </c>
      <c r="C8" s="171" t="s">
        <v>102</v>
      </c>
      <c r="D8" s="132"/>
      <c r="E8" s="28">
        <v>228.67</v>
      </c>
      <c r="F8" s="29"/>
      <c r="G8" s="24">
        <f t="shared" si="0"/>
        <v>228.67</v>
      </c>
      <c r="H8" s="28">
        <v>228.67</v>
      </c>
      <c r="I8" s="29">
        <f>I76</f>
        <v>65.705526429323868</v>
      </c>
      <c r="J8" s="24">
        <f t="shared" si="1"/>
        <v>162.96447357067612</v>
      </c>
      <c r="K8" s="28">
        <v>228.67</v>
      </c>
      <c r="L8" s="29"/>
      <c r="M8" s="24">
        <f t="shared" si="2"/>
        <v>228.67</v>
      </c>
      <c r="N8" s="28">
        <v>228.68</v>
      </c>
      <c r="O8" s="29"/>
      <c r="P8" s="25">
        <f t="shared" si="3"/>
        <v>228.68</v>
      </c>
      <c r="Q8" s="22">
        <f t="shared" si="4"/>
        <v>914.68999999999994</v>
      </c>
      <c r="R8" s="23">
        <f t="shared" si="4"/>
        <v>65.705526429323868</v>
      </c>
      <c r="S8" s="26">
        <f t="shared" si="5"/>
        <v>848.98447357067607</v>
      </c>
    </row>
    <row r="9" spans="2:19" ht="31.15" x14ac:dyDescent="0.3">
      <c r="B9" s="119" t="s">
        <v>39</v>
      </c>
      <c r="C9" s="180" t="s">
        <v>103</v>
      </c>
      <c r="D9" s="132"/>
      <c r="E9" s="28">
        <v>137.21</v>
      </c>
      <c r="F9" s="29">
        <f>I28+I30+I37+I39</f>
        <v>373.04274517994315</v>
      </c>
      <c r="G9" s="24">
        <f t="shared" si="0"/>
        <v>-235.83274517994315</v>
      </c>
      <c r="H9" s="106">
        <v>137.21</v>
      </c>
      <c r="I9" s="29"/>
      <c r="J9" s="24">
        <f t="shared" si="1"/>
        <v>137.21</v>
      </c>
      <c r="K9" s="106">
        <v>137.19999999999999</v>
      </c>
      <c r="L9" s="29">
        <f>I84+I90+I94+I100+I102+I104+I120</f>
        <v>263.43190178624513</v>
      </c>
      <c r="M9" s="24">
        <f t="shared" si="2"/>
        <v>-126.23190178624515</v>
      </c>
      <c r="N9" s="106">
        <v>137.19999999999999</v>
      </c>
      <c r="O9" s="29">
        <f>I128+I135</f>
        <v>136.06074788438877</v>
      </c>
      <c r="P9" s="25">
        <f t="shared" si="3"/>
        <v>1.1392521156112139</v>
      </c>
      <c r="Q9" s="22">
        <f t="shared" si="4"/>
        <v>548.82000000000005</v>
      </c>
      <c r="R9" s="23">
        <f t="shared" si="4"/>
        <v>772.53539485057706</v>
      </c>
      <c r="S9" s="26">
        <f t="shared" si="5"/>
        <v>-223.71539485057701</v>
      </c>
    </row>
    <row r="10" spans="2:19" ht="31.15" x14ac:dyDescent="0.3">
      <c r="B10" s="119" t="s">
        <v>108</v>
      </c>
      <c r="C10" s="180" t="s">
        <v>104</v>
      </c>
      <c r="D10" s="133"/>
      <c r="E10" s="28">
        <v>68.599999999999994</v>
      </c>
      <c r="F10" s="29">
        <f>I33+I35+I36+I40+I51+I52+I53+I54+I22+I23+I24</f>
        <v>171.93200164035144</v>
      </c>
      <c r="G10" s="24">
        <f t="shared" si="0"/>
        <v>-103.33200164035145</v>
      </c>
      <c r="H10" s="28">
        <v>68.599999999999994</v>
      </c>
      <c r="I10" s="29">
        <f>I56+I57+I58+I59+I67+I68+I69+I78+I77</f>
        <v>154.98119541372375</v>
      </c>
      <c r="J10" s="24">
        <f t="shared" si="1"/>
        <v>-86.381195413723759</v>
      </c>
      <c r="K10" s="28">
        <v>68.599999999999994</v>
      </c>
      <c r="L10" s="29">
        <f>I93+I99+I116+I117+I118</f>
        <v>231.65695312345167</v>
      </c>
      <c r="M10" s="24">
        <f t="shared" si="2"/>
        <v>-163.05695312345168</v>
      </c>
      <c r="N10" s="28">
        <v>68.61</v>
      </c>
      <c r="O10" s="29">
        <f>I141+I142+I143</f>
        <v>32.868008116385681</v>
      </c>
      <c r="P10" s="25">
        <f t="shared" si="3"/>
        <v>35.741991883614318</v>
      </c>
      <c r="Q10" s="22">
        <f t="shared" si="4"/>
        <v>274.40999999999997</v>
      </c>
      <c r="R10" s="23">
        <f t="shared" si="4"/>
        <v>591.43815829391258</v>
      </c>
      <c r="S10" s="26">
        <f t="shared" si="5"/>
        <v>-317.02815829391261</v>
      </c>
    </row>
    <row r="11" spans="2:19" ht="31.15" x14ac:dyDescent="0.3">
      <c r="B11" s="119" t="s">
        <v>109</v>
      </c>
      <c r="C11" s="180" t="s">
        <v>105</v>
      </c>
      <c r="D11" s="133"/>
      <c r="E11" s="28">
        <v>686.02</v>
      </c>
      <c r="F11" s="29">
        <f>I21+I32+I49</f>
        <v>686.02057756834665</v>
      </c>
      <c r="G11" s="24">
        <f t="shared" si="0"/>
        <v>-5.7756834667088697E-4</v>
      </c>
      <c r="H11" s="28">
        <v>686.02</v>
      </c>
      <c r="I11" s="29">
        <f>I61+I66+I74</f>
        <v>686.02057756834665</v>
      </c>
      <c r="J11" s="24">
        <f t="shared" si="1"/>
        <v>-5.7756834667088697E-4</v>
      </c>
      <c r="K11" s="28">
        <v>686.02</v>
      </c>
      <c r="L11" s="29">
        <f>I91+I97+I119</f>
        <v>686.02057756834665</v>
      </c>
      <c r="M11" s="24">
        <f t="shared" si="2"/>
        <v>-5.7756834667088697E-4</v>
      </c>
      <c r="N11" s="28">
        <v>686.02</v>
      </c>
      <c r="O11" s="29">
        <f>I139</f>
        <v>228.67352585611556</v>
      </c>
      <c r="P11" s="25">
        <f t="shared" si="3"/>
        <v>457.34647414388439</v>
      </c>
      <c r="Q11" s="22">
        <f t="shared" si="4"/>
        <v>2744.08</v>
      </c>
      <c r="R11" s="23">
        <f t="shared" si="4"/>
        <v>2286.7352585611557</v>
      </c>
      <c r="S11" s="26">
        <f t="shared" si="5"/>
        <v>457.34474143884427</v>
      </c>
    </row>
    <row r="12" spans="2:19" ht="15.6" x14ac:dyDescent="0.3">
      <c r="B12" s="119" t="s">
        <v>110</v>
      </c>
      <c r="C12" s="171" t="s">
        <v>106</v>
      </c>
      <c r="D12" s="133"/>
      <c r="E12" s="28">
        <v>211.52</v>
      </c>
      <c r="F12" s="29">
        <f>I20+I29+I50</f>
        <v>126.37413732912373</v>
      </c>
      <c r="G12" s="24">
        <f t="shared" si="0"/>
        <v>85.145862670876284</v>
      </c>
      <c r="H12" s="28">
        <v>211.52</v>
      </c>
      <c r="I12" s="29">
        <f>I60+I65+I75</f>
        <v>168.49580079182022</v>
      </c>
      <c r="J12" s="24">
        <f t="shared" si="1"/>
        <v>43.024199208179795</v>
      </c>
      <c r="K12" s="28">
        <v>211.52</v>
      </c>
      <c r="L12" s="29">
        <f>I75+I98+I115</f>
        <v>168.49580079182022</v>
      </c>
      <c r="M12" s="24">
        <f t="shared" si="2"/>
        <v>43.024199208179795</v>
      </c>
      <c r="N12" s="28">
        <v>211.53</v>
      </c>
      <c r="O12" s="29">
        <f>I140</f>
        <v>56.165266930606734</v>
      </c>
      <c r="P12" s="25">
        <f t="shared" si="3"/>
        <v>155.36473306939325</v>
      </c>
      <c r="Q12" s="22">
        <f t="shared" si="4"/>
        <v>846.09</v>
      </c>
      <c r="R12" s="23">
        <f t="shared" si="4"/>
        <v>519.53100584337085</v>
      </c>
      <c r="S12" s="26">
        <f t="shared" si="5"/>
        <v>326.55899415662918</v>
      </c>
    </row>
    <row r="13" spans="2:19" ht="16.149999999999999" thickBot="1" x14ac:dyDescent="0.35">
      <c r="B13" s="119" t="s">
        <v>111</v>
      </c>
      <c r="C13" s="171" t="s">
        <v>107</v>
      </c>
      <c r="D13" s="21"/>
      <c r="E13" s="28">
        <v>160.07</v>
      </c>
      <c r="F13" s="23"/>
      <c r="G13" s="24">
        <f t="shared" si="0"/>
        <v>160.07</v>
      </c>
      <c r="H13" s="28">
        <v>160.07</v>
      </c>
      <c r="I13" s="23"/>
      <c r="J13" s="24">
        <f t="shared" si="1"/>
        <v>160.07</v>
      </c>
      <c r="K13" s="28">
        <v>160.07</v>
      </c>
      <c r="L13" s="23"/>
      <c r="M13" s="24">
        <f t="shared" si="2"/>
        <v>160.07</v>
      </c>
      <c r="N13" s="28">
        <v>160.08000000000001</v>
      </c>
      <c r="O13" s="23"/>
      <c r="P13" s="25">
        <f t="shared" si="3"/>
        <v>160.08000000000001</v>
      </c>
      <c r="Q13" s="22">
        <f t="shared" si="4"/>
        <v>640.29</v>
      </c>
      <c r="R13" s="23">
        <f t="shared" si="4"/>
        <v>0</v>
      </c>
      <c r="S13" s="26">
        <f t="shared" si="5"/>
        <v>640.29</v>
      </c>
    </row>
    <row r="14" spans="2:19" ht="15.75" thickBot="1" x14ac:dyDescent="0.3">
      <c r="B14" s="674" t="s">
        <v>13</v>
      </c>
      <c r="C14" s="675"/>
      <c r="D14" s="676"/>
      <c r="E14" s="36">
        <f>SUM(E6:E13)</f>
        <v>1857.97</v>
      </c>
      <c r="F14" s="36">
        <f>SUM(F6:F13)</f>
        <v>1433.5939703364702</v>
      </c>
      <c r="G14" s="37">
        <f t="shared" ref="G14" si="6">E14-F14</f>
        <v>424.37602966352983</v>
      </c>
      <c r="H14" s="36">
        <f>SUM(H6:H13)</f>
        <v>1857.97</v>
      </c>
      <c r="I14" s="36">
        <f>SUM(I6:I13)</f>
        <v>1128.7127052535457</v>
      </c>
      <c r="J14" s="37">
        <f t="shared" ref="J14" si="7">H14-I14</f>
        <v>729.25729474645436</v>
      </c>
      <c r="K14" s="36">
        <f>SUM(K6:K13)</f>
        <v>1857.95</v>
      </c>
      <c r="L14" s="36">
        <f>SUM(L6:L13)</f>
        <v>1620.964483952454</v>
      </c>
      <c r="M14" s="37">
        <f t="shared" ref="M14" si="8">K14-L14</f>
        <v>236.98551604754607</v>
      </c>
      <c r="N14" s="36">
        <f>SUM(N6:N13)</f>
        <v>1857.9999999999998</v>
      </c>
      <c r="O14" s="36">
        <f>SUM(O6:O13)</f>
        <v>694.17964897089291</v>
      </c>
      <c r="P14" s="37">
        <f t="shared" ref="P14" si="9">N14-O14</f>
        <v>1163.8203510291069</v>
      </c>
      <c r="Q14" s="36">
        <f>SUM(Q6:Q13)</f>
        <v>7431.89</v>
      </c>
      <c r="R14" s="38">
        <f t="shared" si="4"/>
        <v>4877.4508085133621</v>
      </c>
      <c r="S14" s="37">
        <f t="shared" si="5"/>
        <v>2554.4391914866383</v>
      </c>
    </row>
    <row r="17" spans="3:18" ht="14.45" thickBot="1" x14ac:dyDescent="0.3">
      <c r="E17" s="2" t="s">
        <v>36</v>
      </c>
      <c r="F17" s="2" t="s">
        <v>37</v>
      </c>
      <c r="G17" s="2" t="s">
        <v>38</v>
      </c>
      <c r="H17" s="2" t="s">
        <v>39</v>
      </c>
      <c r="I17" s="2" t="s">
        <v>108</v>
      </c>
      <c r="J17" s="2" t="s">
        <v>109</v>
      </c>
      <c r="K17" s="2" t="s">
        <v>110</v>
      </c>
      <c r="L17" s="2" t="s">
        <v>111</v>
      </c>
    </row>
    <row r="18" spans="3:18" ht="15.75" thickBot="1" x14ac:dyDescent="0.3">
      <c r="E18" s="749" t="s">
        <v>59</v>
      </c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1"/>
    </row>
    <row r="19" spans="3:18" ht="43.5" thickBot="1" x14ac:dyDescent="0.3">
      <c r="E19" s="39" t="s">
        <v>47</v>
      </c>
      <c r="F19" s="40" t="s">
        <v>48</v>
      </c>
      <c r="G19" s="41" t="s">
        <v>49</v>
      </c>
      <c r="H19" s="42" t="s">
        <v>54</v>
      </c>
      <c r="I19" s="43" t="s">
        <v>50</v>
      </c>
      <c r="J19" s="752" t="s">
        <v>51</v>
      </c>
      <c r="K19" s="753"/>
      <c r="L19" s="753"/>
      <c r="M19" s="753"/>
      <c r="N19" s="753"/>
      <c r="O19" s="753"/>
      <c r="P19" s="753"/>
      <c r="Q19" s="754"/>
      <c r="R19" s="43" t="s">
        <v>52</v>
      </c>
    </row>
    <row r="20" spans="3:18" ht="14.45" thickBot="1" x14ac:dyDescent="0.3">
      <c r="E20" s="217">
        <v>655.95699999999999</v>
      </c>
      <c r="F20" s="56"/>
      <c r="G20" s="54">
        <v>43855</v>
      </c>
      <c r="H20" s="219">
        <v>27632</v>
      </c>
      <c r="I20" s="189">
        <f t="shared" ref="I20:I24" si="10">H20/$E$20</f>
        <v>42.12471244304124</v>
      </c>
      <c r="J20" s="761" t="s">
        <v>192</v>
      </c>
      <c r="K20" s="744"/>
      <c r="L20" s="744"/>
      <c r="M20" s="744"/>
      <c r="N20" s="744"/>
      <c r="O20" s="744"/>
      <c r="P20" s="744"/>
      <c r="Q20" s="745"/>
      <c r="R20" s="52" t="s">
        <v>110</v>
      </c>
    </row>
    <row r="21" spans="3:18" ht="13.9" x14ac:dyDescent="0.25">
      <c r="E21" s="228"/>
      <c r="F21" s="56"/>
      <c r="G21" s="54">
        <v>43855</v>
      </c>
      <c r="H21" s="219">
        <v>150000</v>
      </c>
      <c r="I21" s="189">
        <f t="shared" si="10"/>
        <v>228.67352585611556</v>
      </c>
      <c r="J21" s="761" t="s">
        <v>259</v>
      </c>
      <c r="K21" s="744"/>
      <c r="L21" s="744"/>
      <c r="M21" s="744"/>
      <c r="N21" s="744"/>
      <c r="O21" s="744"/>
      <c r="P21" s="744"/>
      <c r="Q21" s="745"/>
      <c r="R21" s="52" t="s">
        <v>109</v>
      </c>
    </row>
    <row r="22" spans="3:18" ht="13.9" x14ac:dyDescent="0.25">
      <c r="E22" s="228"/>
      <c r="F22" s="56"/>
      <c r="G22" s="54">
        <v>43860</v>
      </c>
      <c r="H22" s="219">
        <v>5850</v>
      </c>
      <c r="I22" s="189">
        <f t="shared" si="10"/>
        <v>8.9182675083885066</v>
      </c>
      <c r="J22" s="761" t="s">
        <v>249</v>
      </c>
      <c r="K22" s="744"/>
      <c r="L22" s="744"/>
      <c r="M22" s="744"/>
      <c r="N22" s="744"/>
      <c r="O22" s="744"/>
      <c r="P22" s="744"/>
      <c r="Q22" s="745"/>
      <c r="R22" s="52" t="s">
        <v>108</v>
      </c>
    </row>
    <row r="23" spans="3:18" x14ac:dyDescent="0.25">
      <c r="E23" s="228"/>
      <c r="F23" s="56"/>
      <c r="G23" s="54">
        <v>43860</v>
      </c>
      <c r="H23" s="219">
        <v>100</v>
      </c>
      <c r="I23" s="189">
        <f t="shared" si="10"/>
        <v>0.15244901723741039</v>
      </c>
      <c r="J23" s="761" t="s">
        <v>262</v>
      </c>
      <c r="K23" s="744"/>
      <c r="L23" s="744"/>
      <c r="M23" s="744"/>
      <c r="N23" s="744"/>
      <c r="O23" s="744"/>
      <c r="P23" s="744"/>
      <c r="Q23" s="745"/>
      <c r="R23" s="52" t="s">
        <v>108</v>
      </c>
    </row>
    <row r="24" spans="3:18" ht="13.9" x14ac:dyDescent="0.25">
      <c r="E24" s="228"/>
      <c r="F24" s="56"/>
      <c r="G24" s="54">
        <v>43860</v>
      </c>
      <c r="H24" s="219">
        <v>15210</v>
      </c>
      <c r="I24" s="189">
        <f t="shared" si="10"/>
        <v>23.187495521810121</v>
      </c>
      <c r="J24" s="761" t="s">
        <v>263</v>
      </c>
      <c r="K24" s="744"/>
      <c r="L24" s="744"/>
      <c r="M24" s="744"/>
      <c r="N24" s="744"/>
      <c r="O24" s="744"/>
      <c r="P24" s="744"/>
      <c r="Q24" s="745"/>
      <c r="R24" s="52" t="s">
        <v>108</v>
      </c>
    </row>
    <row r="25" spans="3:18" ht="5.25" customHeight="1" x14ac:dyDescent="0.25">
      <c r="E25" s="228"/>
      <c r="F25" s="56"/>
      <c r="G25" s="54"/>
      <c r="H25" s="219"/>
      <c r="I25" s="189"/>
      <c r="J25" s="761"/>
      <c r="K25" s="744"/>
      <c r="L25" s="744"/>
      <c r="M25" s="744"/>
      <c r="N25" s="744"/>
      <c r="O25" s="744"/>
      <c r="P25" s="744"/>
      <c r="Q25" s="745"/>
      <c r="R25" s="52"/>
    </row>
    <row r="26" spans="3:18" ht="13.9" x14ac:dyDescent="0.25">
      <c r="E26" s="228"/>
      <c r="F26" s="56">
        <v>240</v>
      </c>
      <c r="G26" s="54">
        <v>43864</v>
      </c>
      <c r="H26" s="219">
        <v>5000</v>
      </c>
      <c r="I26" s="189">
        <f>H26/$E$20</f>
        <v>7.6224508618705187</v>
      </c>
      <c r="J26" s="761" t="s">
        <v>153</v>
      </c>
      <c r="K26" s="744"/>
      <c r="L26" s="744"/>
      <c r="M26" s="744"/>
      <c r="N26" s="744"/>
      <c r="O26" s="744"/>
      <c r="P26" s="744"/>
      <c r="Q26" s="745"/>
      <c r="R26" s="52" t="s">
        <v>36</v>
      </c>
    </row>
    <row r="27" spans="3:18" x14ac:dyDescent="0.25">
      <c r="E27" s="743"/>
      <c r="F27" s="56">
        <v>305121</v>
      </c>
      <c r="G27" s="54">
        <v>43864</v>
      </c>
      <c r="H27" s="219">
        <v>5000</v>
      </c>
      <c r="I27" s="189">
        <f t="shared" ref="I27:I80" si="11">H27/$E$20</f>
        <v>7.6224508618705187</v>
      </c>
      <c r="J27" s="761" t="s">
        <v>153</v>
      </c>
      <c r="K27" s="744"/>
      <c r="L27" s="744"/>
      <c r="M27" s="744"/>
      <c r="N27" s="744"/>
      <c r="O27" s="744"/>
      <c r="P27" s="744"/>
      <c r="Q27" s="745"/>
      <c r="R27" s="52" t="s">
        <v>36</v>
      </c>
    </row>
    <row r="28" spans="3:18" x14ac:dyDescent="0.25">
      <c r="C28" s="172"/>
      <c r="E28" s="743"/>
      <c r="F28" s="56">
        <v>109</v>
      </c>
      <c r="G28" s="54">
        <v>43872</v>
      </c>
      <c r="H28" s="219">
        <v>39500</v>
      </c>
      <c r="I28" s="189">
        <f t="shared" si="11"/>
        <v>60.217361808777099</v>
      </c>
      <c r="J28" s="761" t="s">
        <v>158</v>
      </c>
      <c r="K28" s="744"/>
      <c r="L28" s="744"/>
      <c r="M28" s="744"/>
      <c r="N28" s="744"/>
      <c r="O28" s="744"/>
      <c r="P28" s="744"/>
      <c r="Q28" s="745"/>
      <c r="R28" s="52" t="s">
        <v>39</v>
      </c>
    </row>
    <row r="29" spans="3:18" x14ac:dyDescent="0.25">
      <c r="E29" s="743"/>
      <c r="F29" s="56"/>
      <c r="G29" s="54">
        <v>43889</v>
      </c>
      <c r="H29" s="219">
        <v>27632</v>
      </c>
      <c r="I29" s="189">
        <f t="shared" si="11"/>
        <v>42.12471244304124</v>
      </c>
      <c r="J29" s="761" t="s">
        <v>193</v>
      </c>
      <c r="K29" s="744"/>
      <c r="L29" s="744"/>
      <c r="M29" s="744"/>
      <c r="N29" s="744"/>
      <c r="O29" s="744"/>
      <c r="P29" s="744"/>
      <c r="Q29" s="745"/>
      <c r="R29" s="52" t="s">
        <v>110</v>
      </c>
    </row>
    <row r="30" spans="3:18" x14ac:dyDescent="0.25">
      <c r="E30" s="743"/>
      <c r="F30" s="56">
        <v>428</v>
      </c>
      <c r="G30" s="54">
        <v>43888</v>
      </c>
      <c r="H30" s="219">
        <v>19900</v>
      </c>
      <c r="I30" s="189">
        <f t="shared" si="11"/>
        <v>30.337354430244666</v>
      </c>
      <c r="J30" s="761" t="s">
        <v>158</v>
      </c>
      <c r="K30" s="744"/>
      <c r="L30" s="744"/>
      <c r="M30" s="744"/>
      <c r="N30" s="744"/>
      <c r="O30" s="744"/>
      <c r="P30" s="744"/>
      <c r="Q30" s="745"/>
      <c r="R30" s="52" t="s">
        <v>39</v>
      </c>
    </row>
    <row r="31" spans="3:18" x14ac:dyDescent="0.25">
      <c r="E31" s="743"/>
      <c r="F31" s="56">
        <v>95351</v>
      </c>
      <c r="G31" s="54">
        <v>43889</v>
      </c>
      <c r="H31" s="219">
        <v>5000</v>
      </c>
      <c r="I31" s="189">
        <f t="shared" si="11"/>
        <v>7.6224508618705187</v>
      </c>
      <c r="J31" s="761" t="s">
        <v>153</v>
      </c>
      <c r="K31" s="744"/>
      <c r="L31" s="744"/>
      <c r="M31" s="744"/>
      <c r="N31" s="744"/>
      <c r="O31" s="744"/>
      <c r="P31" s="744"/>
      <c r="Q31" s="745"/>
      <c r="R31" s="52" t="s">
        <v>36</v>
      </c>
    </row>
    <row r="32" spans="3:18" x14ac:dyDescent="0.25">
      <c r="E32" s="743"/>
      <c r="F32" s="56"/>
      <c r="G32" s="54">
        <v>43887</v>
      </c>
      <c r="H32" s="219">
        <v>150000</v>
      </c>
      <c r="I32" s="189">
        <f t="shared" si="11"/>
        <v>228.67352585611556</v>
      </c>
      <c r="J32" s="761" t="s">
        <v>260</v>
      </c>
      <c r="K32" s="744"/>
      <c r="L32" s="744"/>
      <c r="M32" s="744"/>
      <c r="N32" s="744"/>
      <c r="O32" s="744"/>
      <c r="P32" s="744"/>
      <c r="Q32" s="745"/>
      <c r="R32" s="52" t="s">
        <v>109</v>
      </c>
    </row>
    <row r="33" spans="5:18" x14ac:dyDescent="0.25">
      <c r="E33" s="743"/>
      <c r="F33" s="56"/>
      <c r="G33" s="54">
        <v>43889</v>
      </c>
      <c r="H33" s="219">
        <v>15210</v>
      </c>
      <c r="I33" s="189">
        <f t="shared" si="11"/>
        <v>23.187495521810121</v>
      </c>
      <c r="J33" s="761" t="s">
        <v>234</v>
      </c>
      <c r="K33" s="744"/>
      <c r="L33" s="744"/>
      <c r="M33" s="744"/>
      <c r="N33" s="744"/>
      <c r="O33" s="744"/>
      <c r="P33" s="744"/>
      <c r="Q33" s="745"/>
      <c r="R33" s="52" t="s">
        <v>108</v>
      </c>
    </row>
    <row r="34" spans="5:18" ht="4.5" customHeight="1" x14ac:dyDescent="0.25">
      <c r="E34" s="743"/>
      <c r="F34" s="56"/>
      <c r="G34" s="54"/>
      <c r="H34" s="219"/>
      <c r="I34" s="189"/>
      <c r="J34" s="761"/>
      <c r="K34" s="744"/>
      <c r="L34" s="744"/>
      <c r="M34" s="744"/>
      <c r="N34" s="744"/>
      <c r="O34" s="744"/>
      <c r="P34" s="744"/>
      <c r="Q34" s="745"/>
      <c r="R34" s="52"/>
    </row>
    <row r="35" spans="5:18" ht="17.25" customHeight="1" x14ac:dyDescent="0.25">
      <c r="E35" s="743"/>
      <c r="F35" s="56"/>
      <c r="G35" s="54">
        <v>43893</v>
      </c>
      <c r="H35" s="219">
        <v>5850</v>
      </c>
      <c r="I35" s="189">
        <f t="shared" si="11"/>
        <v>8.9182675083885066</v>
      </c>
      <c r="J35" s="761" t="s">
        <v>235</v>
      </c>
      <c r="K35" s="744"/>
      <c r="L35" s="744"/>
      <c r="M35" s="744"/>
      <c r="N35" s="744"/>
      <c r="O35" s="744"/>
      <c r="P35" s="744"/>
      <c r="Q35" s="745"/>
      <c r="R35" s="52" t="s">
        <v>108</v>
      </c>
    </row>
    <row r="36" spans="5:18" ht="17.25" customHeight="1" x14ac:dyDescent="0.25">
      <c r="E36" s="743"/>
      <c r="F36" s="56"/>
      <c r="G36" s="54">
        <v>43894</v>
      </c>
      <c r="H36" s="219">
        <v>100</v>
      </c>
      <c r="I36" s="189">
        <f t="shared" si="11"/>
        <v>0.15244901723741039</v>
      </c>
      <c r="J36" s="761" t="s">
        <v>236</v>
      </c>
      <c r="K36" s="744"/>
      <c r="L36" s="744"/>
      <c r="M36" s="744"/>
      <c r="N36" s="744"/>
      <c r="O36" s="744"/>
      <c r="P36" s="744"/>
      <c r="Q36" s="745"/>
      <c r="R36" s="52" t="s">
        <v>108</v>
      </c>
    </row>
    <row r="37" spans="5:18" x14ac:dyDescent="0.25">
      <c r="E37" s="743"/>
      <c r="F37" s="56">
        <v>495</v>
      </c>
      <c r="G37" s="54">
        <v>43894</v>
      </c>
      <c r="H37" s="219">
        <v>138000</v>
      </c>
      <c r="I37" s="189">
        <f t="shared" si="11"/>
        <v>210.37964378762632</v>
      </c>
      <c r="J37" s="761" t="s">
        <v>158</v>
      </c>
      <c r="K37" s="744"/>
      <c r="L37" s="744"/>
      <c r="M37" s="744"/>
      <c r="N37" s="744"/>
      <c r="O37" s="744"/>
      <c r="P37" s="744"/>
      <c r="Q37" s="745"/>
      <c r="R37" s="52" t="s">
        <v>39</v>
      </c>
    </row>
    <row r="38" spans="5:18" x14ac:dyDescent="0.25">
      <c r="E38" s="743"/>
      <c r="F38" s="56">
        <v>55219</v>
      </c>
      <c r="G38" s="54">
        <v>43894</v>
      </c>
      <c r="H38" s="219">
        <v>5000</v>
      </c>
      <c r="I38" s="189">
        <f t="shared" si="11"/>
        <v>7.6224508618705187</v>
      </c>
      <c r="J38" s="761" t="s">
        <v>153</v>
      </c>
      <c r="K38" s="744"/>
      <c r="L38" s="744"/>
      <c r="M38" s="744"/>
      <c r="N38" s="744"/>
      <c r="O38" s="744"/>
      <c r="P38" s="744"/>
      <c r="Q38" s="745"/>
      <c r="R38" s="52" t="s">
        <v>36</v>
      </c>
    </row>
    <row r="39" spans="5:18" x14ac:dyDescent="0.25">
      <c r="E39" s="743"/>
      <c r="F39" s="56">
        <v>486</v>
      </c>
      <c r="G39" s="54">
        <v>43896</v>
      </c>
      <c r="H39" s="219">
        <v>47300</v>
      </c>
      <c r="I39" s="189">
        <f t="shared" si="11"/>
        <v>72.108385153295103</v>
      </c>
      <c r="J39" s="761" t="s">
        <v>158</v>
      </c>
      <c r="K39" s="744"/>
      <c r="L39" s="744"/>
      <c r="M39" s="744"/>
      <c r="N39" s="744"/>
      <c r="O39" s="744"/>
      <c r="P39" s="744"/>
      <c r="Q39" s="745"/>
      <c r="R39" s="52" t="s">
        <v>39</v>
      </c>
    </row>
    <row r="40" spans="5:18" x14ac:dyDescent="0.25">
      <c r="E40" s="743"/>
      <c r="F40" s="56"/>
      <c r="G40" s="54">
        <v>43899</v>
      </c>
      <c r="H40" s="219">
        <v>2500</v>
      </c>
      <c r="I40" s="189">
        <f t="shared" si="11"/>
        <v>3.8112254309352593</v>
      </c>
      <c r="J40" s="761" t="s">
        <v>237</v>
      </c>
      <c r="K40" s="744"/>
      <c r="L40" s="744"/>
      <c r="M40" s="744"/>
      <c r="N40" s="744"/>
      <c r="O40" s="744"/>
      <c r="P40" s="744"/>
      <c r="Q40" s="745"/>
      <c r="R40" s="52" t="s">
        <v>108</v>
      </c>
    </row>
    <row r="41" spans="5:18" x14ac:dyDescent="0.25">
      <c r="E41" s="743"/>
      <c r="F41" s="56">
        <v>95321</v>
      </c>
      <c r="G41" s="54">
        <v>43900</v>
      </c>
      <c r="H41" s="219">
        <v>2000</v>
      </c>
      <c r="I41" s="189">
        <f t="shared" si="11"/>
        <v>3.0489803447482076</v>
      </c>
      <c r="J41" s="761" t="s">
        <v>153</v>
      </c>
      <c r="K41" s="744"/>
      <c r="L41" s="744"/>
      <c r="M41" s="744"/>
      <c r="N41" s="744"/>
      <c r="O41" s="744"/>
      <c r="P41" s="744"/>
      <c r="Q41" s="745"/>
      <c r="R41" s="52" t="s">
        <v>36</v>
      </c>
    </row>
    <row r="42" spans="5:18" x14ac:dyDescent="0.25">
      <c r="E42" s="743"/>
      <c r="F42" s="56">
        <v>95318</v>
      </c>
      <c r="G42" s="54">
        <v>43900</v>
      </c>
      <c r="H42" s="219">
        <v>5000</v>
      </c>
      <c r="I42" s="189">
        <f t="shared" si="11"/>
        <v>7.6224508618705187</v>
      </c>
      <c r="J42" s="761" t="s">
        <v>153</v>
      </c>
      <c r="K42" s="744"/>
      <c r="L42" s="744"/>
      <c r="M42" s="744"/>
      <c r="N42" s="744"/>
      <c r="O42" s="744"/>
      <c r="P42" s="744"/>
      <c r="Q42" s="745"/>
      <c r="R42" s="52" t="s">
        <v>36</v>
      </c>
    </row>
    <row r="43" spans="5:18" x14ac:dyDescent="0.25">
      <c r="E43" s="743"/>
      <c r="F43" s="56">
        <v>905834</v>
      </c>
      <c r="G43" s="54">
        <v>43901</v>
      </c>
      <c r="H43" s="219">
        <v>5000</v>
      </c>
      <c r="I43" s="189">
        <f t="shared" si="11"/>
        <v>7.6224508618705187</v>
      </c>
      <c r="J43" s="761" t="s">
        <v>153</v>
      </c>
      <c r="K43" s="744"/>
      <c r="L43" s="744"/>
      <c r="M43" s="744"/>
      <c r="N43" s="744"/>
      <c r="O43" s="744"/>
      <c r="P43" s="744"/>
      <c r="Q43" s="745"/>
      <c r="R43" s="52" t="s">
        <v>36</v>
      </c>
    </row>
    <row r="44" spans="5:18" x14ac:dyDescent="0.25">
      <c r="E44" s="743"/>
      <c r="F44" s="56">
        <v>73</v>
      </c>
      <c r="G44" s="54">
        <v>43903</v>
      </c>
      <c r="H44" s="219">
        <v>5000</v>
      </c>
      <c r="I44" s="189">
        <f t="shared" si="11"/>
        <v>7.6224508618705187</v>
      </c>
      <c r="J44" s="761" t="s">
        <v>162</v>
      </c>
      <c r="K44" s="744"/>
      <c r="L44" s="744"/>
      <c r="M44" s="744"/>
      <c r="N44" s="744"/>
      <c r="O44" s="744"/>
      <c r="P44" s="744"/>
      <c r="Q44" s="745"/>
      <c r="R44" s="52" t="s">
        <v>36</v>
      </c>
    </row>
    <row r="45" spans="5:18" x14ac:dyDescent="0.25">
      <c r="E45" s="743"/>
      <c r="F45" s="56">
        <v>74</v>
      </c>
      <c r="G45" s="54">
        <v>43909</v>
      </c>
      <c r="H45" s="219">
        <v>3000</v>
      </c>
      <c r="I45" s="189">
        <f t="shared" si="11"/>
        <v>4.5734705171223116</v>
      </c>
      <c r="J45" s="761" t="s">
        <v>162</v>
      </c>
      <c r="K45" s="744"/>
      <c r="L45" s="744"/>
      <c r="M45" s="744"/>
      <c r="N45" s="744"/>
      <c r="O45" s="744"/>
      <c r="P45" s="744"/>
      <c r="Q45" s="745"/>
      <c r="R45" s="52" t="s">
        <v>36</v>
      </c>
    </row>
    <row r="46" spans="5:18" x14ac:dyDescent="0.25">
      <c r="E46" s="743"/>
      <c r="F46" s="56">
        <v>75</v>
      </c>
      <c r="G46" s="54">
        <v>43910</v>
      </c>
      <c r="H46" s="219">
        <v>5000</v>
      </c>
      <c r="I46" s="189">
        <f t="shared" si="11"/>
        <v>7.6224508618705187</v>
      </c>
      <c r="J46" s="761" t="s">
        <v>168</v>
      </c>
      <c r="K46" s="744"/>
      <c r="L46" s="744"/>
      <c r="M46" s="744"/>
      <c r="N46" s="744"/>
      <c r="O46" s="744"/>
      <c r="P46" s="744"/>
      <c r="Q46" s="745"/>
      <c r="R46" s="52" t="s">
        <v>36</v>
      </c>
    </row>
    <row r="47" spans="5:18" x14ac:dyDescent="0.25">
      <c r="E47" s="743"/>
      <c r="F47" s="56">
        <v>125958</v>
      </c>
      <c r="G47" s="54">
        <v>43910</v>
      </c>
      <c r="H47" s="219">
        <v>2000</v>
      </c>
      <c r="I47" s="189">
        <f t="shared" si="11"/>
        <v>3.0489803447482076</v>
      </c>
      <c r="J47" s="761" t="s">
        <v>153</v>
      </c>
      <c r="K47" s="744"/>
      <c r="L47" s="744"/>
      <c r="M47" s="744"/>
      <c r="N47" s="744"/>
      <c r="O47" s="744"/>
      <c r="P47" s="744"/>
      <c r="Q47" s="745"/>
      <c r="R47" s="52" t="s">
        <v>36</v>
      </c>
    </row>
    <row r="48" spans="5:18" x14ac:dyDescent="0.25">
      <c r="E48" s="743"/>
      <c r="F48" s="56">
        <v>95005</v>
      </c>
      <c r="G48" s="54">
        <v>43914</v>
      </c>
      <c r="H48" s="219">
        <v>3000</v>
      </c>
      <c r="I48" s="189">
        <f t="shared" si="11"/>
        <v>4.5734705171223116</v>
      </c>
      <c r="J48" s="761" t="s">
        <v>153</v>
      </c>
      <c r="K48" s="744"/>
      <c r="L48" s="744"/>
      <c r="M48" s="744"/>
      <c r="N48" s="744"/>
      <c r="O48" s="744"/>
      <c r="P48" s="744"/>
      <c r="Q48" s="745"/>
      <c r="R48" s="52" t="s">
        <v>36</v>
      </c>
    </row>
    <row r="49" spans="5:18" x14ac:dyDescent="0.25">
      <c r="E49" s="743"/>
      <c r="F49" s="56"/>
      <c r="G49" s="54">
        <v>43914</v>
      </c>
      <c r="H49" s="219">
        <v>150000</v>
      </c>
      <c r="I49" s="189">
        <f t="shared" si="11"/>
        <v>228.67352585611556</v>
      </c>
      <c r="J49" s="761" t="s">
        <v>261</v>
      </c>
      <c r="K49" s="744"/>
      <c r="L49" s="744"/>
      <c r="M49" s="744"/>
      <c r="N49" s="744"/>
      <c r="O49" s="744"/>
      <c r="P49" s="744"/>
      <c r="Q49" s="745"/>
      <c r="R49" s="52" t="s">
        <v>109</v>
      </c>
    </row>
    <row r="50" spans="5:18" x14ac:dyDescent="0.25">
      <c r="E50" s="743"/>
      <c r="F50" s="56"/>
      <c r="G50" s="54">
        <v>43914</v>
      </c>
      <c r="H50" s="219">
        <v>27632</v>
      </c>
      <c r="I50" s="189">
        <f t="shared" si="11"/>
        <v>42.12471244304124</v>
      </c>
      <c r="J50" s="761" t="s">
        <v>264</v>
      </c>
      <c r="K50" s="744"/>
      <c r="L50" s="744"/>
      <c r="M50" s="744"/>
      <c r="N50" s="744"/>
      <c r="O50" s="744"/>
      <c r="P50" s="744"/>
      <c r="Q50" s="745"/>
      <c r="R50" s="52" t="s">
        <v>110</v>
      </c>
    </row>
    <row r="51" spans="5:18" x14ac:dyDescent="0.25">
      <c r="E51" s="743"/>
      <c r="F51" s="56"/>
      <c r="G51" s="54">
        <v>43915</v>
      </c>
      <c r="H51" s="219">
        <v>5850</v>
      </c>
      <c r="I51" s="189">
        <f t="shared" si="11"/>
        <v>8.9182675083885066</v>
      </c>
      <c r="J51" s="761" t="s">
        <v>235</v>
      </c>
      <c r="K51" s="744"/>
      <c r="L51" s="744"/>
      <c r="M51" s="744"/>
      <c r="N51" s="744"/>
      <c r="O51" s="744"/>
      <c r="P51" s="744"/>
      <c r="Q51" s="745"/>
      <c r="R51" s="52" t="s">
        <v>108</v>
      </c>
    </row>
    <row r="52" spans="5:18" x14ac:dyDescent="0.25">
      <c r="E52" s="743"/>
      <c r="F52" s="56"/>
      <c r="G52" s="54">
        <v>43916</v>
      </c>
      <c r="H52" s="219">
        <v>100</v>
      </c>
      <c r="I52" s="189">
        <f t="shared" si="11"/>
        <v>0.15244901723741039</v>
      </c>
      <c r="J52" s="761" t="s">
        <v>238</v>
      </c>
      <c r="K52" s="744"/>
      <c r="L52" s="744"/>
      <c r="M52" s="744"/>
      <c r="N52" s="744"/>
      <c r="O52" s="744"/>
      <c r="P52" s="744"/>
      <c r="Q52" s="745"/>
      <c r="R52" s="52" t="s">
        <v>108</v>
      </c>
    </row>
    <row r="53" spans="5:18" x14ac:dyDescent="0.25">
      <c r="E53" s="743"/>
      <c r="F53" s="56"/>
      <c r="G53" s="54">
        <v>43921</v>
      </c>
      <c r="H53" s="219">
        <v>15210</v>
      </c>
      <c r="I53" s="189">
        <f t="shared" si="11"/>
        <v>23.187495521810121</v>
      </c>
      <c r="J53" s="761" t="s">
        <v>239</v>
      </c>
      <c r="K53" s="744"/>
      <c r="L53" s="744"/>
      <c r="M53" s="744"/>
      <c r="N53" s="744"/>
      <c r="O53" s="744"/>
      <c r="P53" s="744"/>
      <c r="Q53" s="745"/>
      <c r="R53" s="52" t="s">
        <v>108</v>
      </c>
    </row>
    <row r="54" spans="5:18" ht="14.45" thickBot="1" x14ac:dyDescent="0.3">
      <c r="E54" s="227"/>
      <c r="F54" s="456"/>
      <c r="G54" s="457">
        <v>43921</v>
      </c>
      <c r="H54" s="458">
        <v>46800</v>
      </c>
      <c r="I54" s="459">
        <f t="shared" si="11"/>
        <v>71.346140067108053</v>
      </c>
      <c r="J54" s="851" t="s">
        <v>240</v>
      </c>
      <c r="K54" s="772"/>
      <c r="L54" s="772"/>
      <c r="M54" s="772"/>
      <c r="N54" s="772"/>
      <c r="O54" s="772"/>
      <c r="P54" s="772"/>
      <c r="Q54" s="773"/>
      <c r="R54" s="59" t="s">
        <v>108</v>
      </c>
    </row>
    <row r="55" spans="5:18" ht="14.45" thickBot="1" x14ac:dyDescent="0.3">
      <c r="E55" s="64"/>
      <c r="F55" s="736" t="s">
        <v>58</v>
      </c>
      <c r="G55" s="737"/>
      <c r="H55" s="65">
        <f>SUM(H20:H54)</f>
        <v>940376</v>
      </c>
      <c r="I55" s="65">
        <f>SUM(I20:I54)</f>
        <v>1433.5939703364702</v>
      </c>
      <c r="J55" s="738"/>
      <c r="K55" s="738"/>
      <c r="L55" s="738"/>
      <c r="M55" s="738"/>
      <c r="N55" s="738"/>
      <c r="O55" s="738"/>
      <c r="P55" s="738"/>
      <c r="Q55" s="739"/>
      <c r="R55" s="66"/>
    </row>
    <row r="56" spans="5:18" ht="14.45" thickBot="1" x14ac:dyDescent="0.3">
      <c r="E56" s="67">
        <v>655.95699999999999</v>
      </c>
      <c r="F56" s="68"/>
      <c r="G56" s="460">
        <v>43948</v>
      </c>
      <c r="H56" s="219">
        <v>5850</v>
      </c>
      <c r="I56" s="70">
        <f t="shared" si="11"/>
        <v>8.9182675083885066</v>
      </c>
      <c r="J56" s="762" t="s">
        <v>249</v>
      </c>
      <c r="K56" s="763"/>
      <c r="L56" s="763"/>
      <c r="M56" s="763"/>
      <c r="N56" s="763"/>
      <c r="O56" s="763"/>
      <c r="P56" s="763"/>
      <c r="Q56" s="764"/>
      <c r="R56" s="48" t="s">
        <v>108</v>
      </c>
    </row>
    <row r="57" spans="5:18" ht="14.45" thickBot="1" x14ac:dyDescent="0.3">
      <c r="E57" s="429"/>
      <c r="F57" s="68"/>
      <c r="G57" s="461">
        <v>43949</v>
      </c>
      <c r="H57" s="219">
        <v>100</v>
      </c>
      <c r="I57" s="70">
        <f t="shared" si="11"/>
        <v>0.15244901723741039</v>
      </c>
      <c r="J57" s="762" t="s">
        <v>298</v>
      </c>
      <c r="K57" s="763"/>
      <c r="L57" s="763"/>
      <c r="M57" s="763"/>
      <c r="N57" s="763"/>
      <c r="O57" s="763"/>
      <c r="P57" s="763"/>
      <c r="Q57" s="764"/>
      <c r="R57" s="52" t="s">
        <v>108</v>
      </c>
    </row>
    <row r="58" spans="5:18" x14ac:dyDescent="0.25">
      <c r="E58" s="781"/>
      <c r="F58" s="72"/>
      <c r="G58" s="461">
        <v>43949</v>
      </c>
      <c r="H58" s="219">
        <v>100</v>
      </c>
      <c r="I58" s="70">
        <f t="shared" si="11"/>
        <v>0.15244901723741039</v>
      </c>
      <c r="J58" s="762" t="s">
        <v>298</v>
      </c>
      <c r="K58" s="763"/>
      <c r="L58" s="763"/>
      <c r="M58" s="763"/>
      <c r="N58" s="763"/>
      <c r="O58" s="763"/>
      <c r="P58" s="763"/>
      <c r="Q58" s="764"/>
      <c r="R58" s="52" t="s">
        <v>108</v>
      </c>
    </row>
    <row r="59" spans="5:18" x14ac:dyDescent="0.25">
      <c r="E59" s="743"/>
      <c r="F59" s="72"/>
      <c r="G59" s="462">
        <v>43951</v>
      </c>
      <c r="H59" s="219">
        <v>15210</v>
      </c>
      <c r="I59" s="70">
        <f t="shared" si="11"/>
        <v>23.187495521810121</v>
      </c>
      <c r="J59" s="762" t="s">
        <v>279</v>
      </c>
      <c r="K59" s="763"/>
      <c r="L59" s="763"/>
      <c r="M59" s="763"/>
      <c r="N59" s="763"/>
      <c r="O59" s="763"/>
      <c r="P59" s="763"/>
      <c r="Q59" s="764"/>
      <c r="R59" s="52" t="s">
        <v>108</v>
      </c>
    </row>
    <row r="60" spans="5:18" x14ac:dyDescent="0.25">
      <c r="E60" s="743"/>
      <c r="F60" s="72"/>
      <c r="G60" s="462">
        <v>43951</v>
      </c>
      <c r="H60" s="219">
        <v>36842</v>
      </c>
      <c r="I60" s="70">
        <f t="shared" si="11"/>
        <v>56.165266930606734</v>
      </c>
      <c r="J60" s="762" t="s">
        <v>297</v>
      </c>
      <c r="K60" s="763"/>
      <c r="L60" s="763"/>
      <c r="M60" s="763"/>
      <c r="N60" s="763"/>
      <c r="O60" s="763"/>
      <c r="P60" s="763"/>
      <c r="Q60" s="764"/>
      <c r="R60" s="75" t="s">
        <v>110</v>
      </c>
    </row>
    <row r="61" spans="5:18" x14ac:dyDescent="0.25">
      <c r="E61" s="743"/>
      <c r="F61" s="72"/>
      <c r="G61" s="463">
        <v>43951</v>
      </c>
      <c r="H61" s="219">
        <v>150000</v>
      </c>
      <c r="I61" s="70">
        <f t="shared" si="11"/>
        <v>228.67352585611556</v>
      </c>
      <c r="J61" s="759" t="s">
        <v>299</v>
      </c>
      <c r="K61" s="760"/>
      <c r="L61" s="760"/>
      <c r="M61" s="760"/>
      <c r="N61" s="760"/>
      <c r="O61" s="760"/>
      <c r="P61" s="760"/>
      <c r="Q61" s="761"/>
      <c r="R61" s="75" t="s">
        <v>109</v>
      </c>
    </row>
    <row r="62" spans="5:18" x14ac:dyDescent="0.25">
      <c r="E62" s="743"/>
      <c r="F62" s="77">
        <v>53</v>
      </c>
      <c r="G62" s="73">
        <v>43956</v>
      </c>
      <c r="H62" s="464">
        <v>5000</v>
      </c>
      <c r="I62" s="70">
        <f t="shared" si="11"/>
        <v>7.6224508618705187</v>
      </c>
      <c r="J62" s="763" t="s">
        <v>319</v>
      </c>
      <c r="K62" s="763"/>
      <c r="L62" s="763"/>
      <c r="M62" s="763"/>
      <c r="N62" s="763"/>
      <c r="O62" s="763"/>
      <c r="P62" s="763"/>
      <c r="Q62" s="764"/>
      <c r="R62" s="78" t="s">
        <v>36</v>
      </c>
    </row>
    <row r="63" spans="5:18" x14ac:dyDescent="0.25">
      <c r="E63" s="743"/>
      <c r="F63" s="77">
        <v>54</v>
      </c>
      <c r="G63" s="73">
        <v>43956</v>
      </c>
      <c r="H63" s="464">
        <v>5000</v>
      </c>
      <c r="I63" s="70">
        <f t="shared" si="11"/>
        <v>7.6224508618705187</v>
      </c>
      <c r="J63" s="763" t="s">
        <v>320</v>
      </c>
      <c r="K63" s="763"/>
      <c r="L63" s="763"/>
      <c r="M63" s="763"/>
      <c r="N63" s="763"/>
      <c r="O63" s="763"/>
      <c r="P63" s="763"/>
      <c r="Q63" s="764"/>
      <c r="R63" s="78" t="s">
        <v>36</v>
      </c>
    </row>
    <row r="64" spans="5:18" x14ac:dyDescent="0.25">
      <c r="E64" s="743"/>
      <c r="F64" s="77">
        <v>58</v>
      </c>
      <c r="G64" s="73">
        <v>43959</v>
      </c>
      <c r="H64" s="464">
        <v>5000</v>
      </c>
      <c r="I64" s="70">
        <f t="shared" si="11"/>
        <v>7.6224508618705187</v>
      </c>
      <c r="J64" s="763" t="s">
        <v>321</v>
      </c>
      <c r="K64" s="763"/>
      <c r="L64" s="763"/>
      <c r="M64" s="763"/>
      <c r="N64" s="763"/>
      <c r="O64" s="763"/>
      <c r="P64" s="763"/>
      <c r="Q64" s="764"/>
      <c r="R64" s="78" t="s">
        <v>36</v>
      </c>
    </row>
    <row r="65" spans="5:18" x14ac:dyDescent="0.25">
      <c r="E65" s="743"/>
      <c r="F65" s="77"/>
      <c r="G65" s="73">
        <v>43971</v>
      </c>
      <c r="H65" s="219">
        <v>36842</v>
      </c>
      <c r="I65" s="70">
        <f t="shared" si="11"/>
        <v>56.165266930606734</v>
      </c>
      <c r="J65" s="762" t="s">
        <v>297</v>
      </c>
      <c r="K65" s="763"/>
      <c r="L65" s="763"/>
      <c r="M65" s="763"/>
      <c r="N65" s="763"/>
      <c r="O65" s="763"/>
      <c r="P65" s="763"/>
      <c r="Q65" s="764"/>
      <c r="R65" s="75" t="s">
        <v>110</v>
      </c>
    </row>
    <row r="66" spans="5:18" x14ac:dyDescent="0.25">
      <c r="E66" s="743"/>
      <c r="F66" s="468">
        <v>2524737</v>
      </c>
      <c r="G66" s="73">
        <v>43971</v>
      </c>
      <c r="H66" s="72">
        <v>150000</v>
      </c>
      <c r="I66" s="70">
        <f t="shared" si="11"/>
        <v>228.67352585611556</v>
      </c>
      <c r="J66" s="763" t="s">
        <v>313</v>
      </c>
      <c r="K66" s="763"/>
      <c r="L66" s="763"/>
      <c r="M66" s="763"/>
      <c r="N66" s="763"/>
      <c r="O66" s="763"/>
      <c r="P66" s="763"/>
      <c r="Q66" s="764"/>
      <c r="R66" s="75" t="s">
        <v>109</v>
      </c>
    </row>
    <row r="67" spans="5:18" x14ac:dyDescent="0.25">
      <c r="E67" s="743"/>
      <c r="F67" s="72"/>
      <c r="G67" s="73">
        <v>43979</v>
      </c>
      <c r="H67" s="72">
        <v>15210</v>
      </c>
      <c r="I67" s="70">
        <f t="shared" si="11"/>
        <v>23.187495521810121</v>
      </c>
      <c r="J67" s="763" t="s">
        <v>318</v>
      </c>
      <c r="K67" s="763"/>
      <c r="L67" s="763"/>
      <c r="M67" s="763"/>
      <c r="N67" s="763"/>
      <c r="O67" s="763"/>
      <c r="P67" s="763"/>
      <c r="Q67" s="764"/>
      <c r="R67" s="52" t="s">
        <v>108</v>
      </c>
    </row>
    <row r="68" spans="5:18" x14ac:dyDescent="0.25">
      <c r="E68" s="743"/>
      <c r="F68" s="72"/>
      <c r="G68" s="414">
        <v>43984</v>
      </c>
      <c r="H68" s="72">
        <v>526</v>
      </c>
      <c r="I68" s="70">
        <f t="shared" si="11"/>
        <v>0.80188183066877861</v>
      </c>
      <c r="J68" s="762" t="s">
        <v>351</v>
      </c>
      <c r="K68" s="763"/>
      <c r="L68" s="763"/>
      <c r="M68" s="763"/>
      <c r="N68" s="763"/>
      <c r="O68" s="763"/>
      <c r="P68" s="763"/>
      <c r="Q68" s="764"/>
      <c r="R68" s="52" t="s">
        <v>108</v>
      </c>
    </row>
    <row r="69" spans="5:18" x14ac:dyDescent="0.25">
      <c r="E69" s="743"/>
      <c r="F69" s="72"/>
      <c r="G69" s="414">
        <v>43985</v>
      </c>
      <c r="H69" s="72">
        <v>100</v>
      </c>
      <c r="I69" s="70">
        <f t="shared" si="11"/>
        <v>0.15244901723741039</v>
      </c>
      <c r="J69" s="762" t="s">
        <v>351</v>
      </c>
      <c r="K69" s="763"/>
      <c r="L69" s="763"/>
      <c r="M69" s="763"/>
      <c r="N69" s="763"/>
      <c r="O69" s="763"/>
      <c r="P69" s="763"/>
      <c r="Q69" s="764"/>
      <c r="R69" s="52" t="s">
        <v>108</v>
      </c>
    </row>
    <row r="70" spans="5:18" x14ac:dyDescent="0.25">
      <c r="E70" s="743"/>
      <c r="F70" s="77">
        <v>56</v>
      </c>
      <c r="G70" s="73">
        <v>44006</v>
      </c>
      <c r="H70" s="72">
        <v>5000</v>
      </c>
      <c r="I70" s="70">
        <f t="shared" si="11"/>
        <v>7.6224508618705187</v>
      </c>
      <c r="J70" s="763" t="s">
        <v>332</v>
      </c>
      <c r="K70" s="763"/>
      <c r="L70" s="763"/>
      <c r="M70" s="763"/>
      <c r="N70" s="763"/>
      <c r="O70" s="763"/>
      <c r="P70" s="763"/>
      <c r="Q70" s="764"/>
      <c r="R70" s="78" t="s">
        <v>36</v>
      </c>
    </row>
    <row r="71" spans="5:18" x14ac:dyDescent="0.25">
      <c r="E71" s="743"/>
      <c r="F71" s="77">
        <v>55</v>
      </c>
      <c r="G71" s="73">
        <v>44006</v>
      </c>
      <c r="H71" s="72">
        <v>5000</v>
      </c>
      <c r="I71" s="70">
        <f t="shared" si="11"/>
        <v>7.6224508618705187</v>
      </c>
      <c r="J71" s="763" t="s">
        <v>333</v>
      </c>
      <c r="K71" s="763"/>
      <c r="L71" s="763"/>
      <c r="M71" s="763"/>
      <c r="N71" s="763"/>
      <c r="O71" s="763"/>
      <c r="P71" s="763"/>
      <c r="Q71" s="764"/>
      <c r="R71" s="78" t="s">
        <v>36</v>
      </c>
    </row>
    <row r="72" spans="5:18" x14ac:dyDescent="0.25">
      <c r="E72" s="743"/>
      <c r="F72" s="77">
        <v>12680</v>
      </c>
      <c r="G72" s="73">
        <v>44011</v>
      </c>
      <c r="H72" s="72">
        <v>5000</v>
      </c>
      <c r="I72" s="70">
        <f t="shared" si="11"/>
        <v>7.6224508618705187</v>
      </c>
      <c r="J72" s="763" t="s">
        <v>153</v>
      </c>
      <c r="K72" s="763"/>
      <c r="L72" s="763"/>
      <c r="M72" s="763"/>
      <c r="N72" s="763"/>
      <c r="O72" s="763"/>
      <c r="P72" s="763"/>
      <c r="Q72" s="764"/>
      <c r="R72" s="78" t="s">
        <v>36</v>
      </c>
    </row>
    <row r="73" spans="5:18" x14ac:dyDescent="0.25">
      <c r="E73" s="743"/>
      <c r="F73" s="77">
        <v>7150</v>
      </c>
      <c r="G73" s="73">
        <v>44012</v>
      </c>
      <c r="H73" s="72">
        <v>5000</v>
      </c>
      <c r="I73" s="70">
        <f t="shared" si="11"/>
        <v>7.6224508618705187</v>
      </c>
      <c r="J73" s="763" t="s">
        <v>153</v>
      </c>
      <c r="K73" s="763"/>
      <c r="L73" s="763"/>
      <c r="M73" s="763"/>
      <c r="N73" s="763"/>
      <c r="O73" s="763"/>
      <c r="P73" s="763"/>
      <c r="Q73" s="764"/>
      <c r="R73" s="78" t="s">
        <v>36</v>
      </c>
    </row>
    <row r="74" spans="5:18" x14ac:dyDescent="0.25">
      <c r="E74" s="743"/>
      <c r="F74" s="77"/>
      <c r="G74" s="73">
        <v>44006</v>
      </c>
      <c r="H74" s="464">
        <v>150000</v>
      </c>
      <c r="I74" s="70">
        <f t="shared" si="11"/>
        <v>228.67352585611556</v>
      </c>
      <c r="J74" s="763" t="s">
        <v>334</v>
      </c>
      <c r="K74" s="763"/>
      <c r="L74" s="763"/>
      <c r="M74" s="763"/>
      <c r="N74" s="763"/>
      <c r="O74" s="763"/>
      <c r="P74" s="763"/>
      <c r="Q74" s="764"/>
      <c r="R74" s="78" t="s">
        <v>109</v>
      </c>
    </row>
    <row r="75" spans="5:18" x14ac:dyDescent="0.25">
      <c r="E75" s="743"/>
      <c r="F75" s="77"/>
      <c r="G75" s="73">
        <v>44006</v>
      </c>
      <c r="H75" s="464">
        <v>36842</v>
      </c>
      <c r="I75" s="70">
        <f t="shared" si="11"/>
        <v>56.165266930606734</v>
      </c>
      <c r="J75" s="763" t="s">
        <v>335</v>
      </c>
      <c r="K75" s="763"/>
      <c r="L75" s="763"/>
      <c r="M75" s="763"/>
      <c r="N75" s="763"/>
      <c r="O75" s="763"/>
      <c r="P75" s="763"/>
      <c r="Q75" s="764"/>
      <c r="R75" s="78" t="s">
        <v>110</v>
      </c>
    </row>
    <row r="76" spans="5:18" x14ac:dyDescent="0.25">
      <c r="E76" s="743"/>
      <c r="F76" s="77"/>
      <c r="G76" s="73">
        <v>44006</v>
      </c>
      <c r="H76" s="464">
        <v>43100</v>
      </c>
      <c r="I76" s="70">
        <f t="shared" si="11"/>
        <v>65.705526429323868</v>
      </c>
      <c r="J76" s="763" t="s">
        <v>336</v>
      </c>
      <c r="K76" s="763"/>
      <c r="L76" s="763"/>
      <c r="M76" s="763"/>
      <c r="N76" s="763"/>
      <c r="O76" s="763"/>
      <c r="P76" s="763"/>
      <c r="Q76" s="764"/>
      <c r="R76" s="78" t="s">
        <v>38</v>
      </c>
    </row>
    <row r="77" spans="5:18" x14ac:dyDescent="0.25">
      <c r="E77" s="743"/>
      <c r="F77" s="77"/>
      <c r="G77" s="73">
        <v>44012</v>
      </c>
      <c r="H77" s="76">
        <v>15210</v>
      </c>
      <c r="I77" s="70">
        <f t="shared" si="11"/>
        <v>23.187495521810121</v>
      </c>
      <c r="J77" s="762" t="s">
        <v>349</v>
      </c>
      <c r="K77" s="763"/>
      <c r="L77" s="763"/>
      <c r="M77" s="763"/>
      <c r="N77" s="763"/>
      <c r="O77" s="763"/>
      <c r="P77" s="763"/>
      <c r="Q77" s="764"/>
      <c r="R77" s="52" t="s">
        <v>108</v>
      </c>
    </row>
    <row r="78" spans="5:18" x14ac:dyDescent="0.25">
      <c r="E78" s="743"/>
      <c r="F78" s="77"/>
      <c r="G78" s="73">
        <v>44012</v>
      </c>
      <c r="H78" s="76">
        <v>49355</v>
      </c>
      <c r="I78" s="70">
        <f t="shared" si="11"/>
        <v>75.241212457523886</v>
      </c>
      <c r="J78" s="762" t="s">
        <v>350</v>
      </c>
      <c r="K78" s="763"/>
      <c r="L78" s="763"/>
      <c r="M78" s="763"/>
      <c r="N78" s="763"/>
      <c r="O78" s="763"/>
      <c r="P78" s="763"/>
      <c r="Q78" s="764"/>
      <c r="R78" s="52" t="s">
        <v>108</v>
      </c>
    </row>
    <row r="79" spans="5:18" x14ac:dyDescent="0.25">
      <c r="E79" s="743"/>
      <c r="F79" s="77"/>
      <c r="G79" s="73"/>
      <c r="H79" s="76"/>
      <c r="I79" s="70">
        <f t="shared" si="11"/>
        <v>0</v>
      </c>
      <c r="J79" s="765"/>
      <c r="K79" s="765"/>
      <c r="L79" s="765"/>
      <c r="M79" s="765"/>
      <c r="N79" s="765"/>
      <c r="O79" s="765"/>
      <c r="P79" s="765"/>
      <c r="Q79" s="766"/>
      <c r="R79" s="78"/>
    </row>
    <row r="80" spans="5:18" ht="15.75" thickBot="1" x14ac:dyDescent="0.3">
      <c r="E80" s="743"/>
      <c r="F80" s="77"/>
      <c r="G80" s="73"/>
      <c r="H80" s="74"/>
      <c r="I80" s="70">
        <f t="shared" si="11"/>
        <v>0</v>
      </c>
      <c r="J80" s="765"/>
      <c r="K80" s="765"/>
      <c r="L80" s="765"/>
      <c r="M80" s="765"/>
      <c r="N80" s="765"/>
      <c r="O80" s="765"/>
      <c r="P80" s="765"/>
      <c r="Q80" s="766"/>
      <c r="R80" s="80"/>
    </row>
    <row r="81" spans="5:20" ht="14.45" thickBot="1" x14ac:dyDescent="0.3">
      <c r="E81" s="64"/>
      <c r="F81" s="736" t="s">
        <v>57</v>
      </c>
      <c r="G81" s="737"/>
      <c r="H81" s="84">
        <f>SUM(H56:H80)</f>
        <v>740287</v>
      </c>
      <c r="I81" s="470">
        <f>SUM(I56:I80)</f>
        <v>1128.5602562363085</v>
      </c>
      <c r="J81" s="738"/>
      <c r="K81" s="738"/>
      <c r="L81" s="738"/>
      <c r="M81" s="738"/>
      <c r="N81" s="738"/>
      <c r="O81" s="738"/>
      <c r="P81" s="738"/>
      <c r="Q81" s="739"/>
      <c r="R81" s="66"/>
    </row>
    <row r="82" spans="5:20" ht="14.45" thickBot="1" x14ac:dyDescent="0.3">
      <c r="E82" s="562">
        <v>655.95699999999999</v>
      </c>
      <c r="F82" s="563">
        <v>165042</v>
      </c>
      <c r="G82" s="500">
        <v>44018</v>
      </c>
      <c r="H82" s="501">
        <v>10000</v>
      </c>
      <c r="I82" s="469">
        <f t="shared" ref="I82:I93" si="12">H82/$E$82</f>
        <v>15.244901723741037</v>
      </c>
      <c r="J82" s="844" t="s">
        <v>357</v>
      </c>
      <c r="K82" s="740"/>
      <c r="L82" s="740"/>
      <c r="M82" s="740"/>
      <c r="N82" s="740"/>
      <c r="O82" s="740"/>
      <c r="P82" s="740"/>
      <c r="Q82" s="845"/>
      <c r="R82" s="488" t="s">
        <v>358</v>
      </c>
    </row>
    <row r="83" spans="5:20" x14ac:dyDescent="0.25">
      <c r="E83" s="783"/>
      <c r="F83" s="564">
        <v>612537</v>
      </c>
      <c r="G83" s="500">
        <v>44027</v>
      </c>
      <c r="H83" s="501">
        <v>5000</v>
      </c>
      <c r="I83" s="469">
        <f t="shared" si="12"/>
        <v>7.6224508618705187</v>
      </c>
      <c r="J83" s="762" t="s">
        <v>357</v>
      </c>
      <c r="K83" s="763"/>
      <c r="L83" s="763"/>
      <c r="M83" s="763"/>
      <c r="N83" s="763"/>
      <c r="O83" s="763"/>
      <c r="P83" s="763"/>
      <c r="Q83" s="842"/>
      <c r="R83" s="488" t="s">
        <v>358</v>
      </c>
    </row>
    <row r="84" spans="5:20" ht="15" customHeight="1" x14ac:dyDescent="0.25">
      <c r="E84" s="784"/>
      <c r="F84" s="564">
        <v>182</v>
      </c>
      <c r="G84" s="500">
        <v>44028</v>
      </c>
      <c r="H84" s="501">
        <v>18400</v>
      </c>
      <c r="I84" s="469">
        <f t="shared" si="12"/>
        <v>28.050619171683511</v>
      </c>
      <c r="J84" s="852" t="s">
        <v>158</v>
      </c>
      <c r="K84" s="853"/>
      <c r="L84" s="853"/>
      <c r="M84" s="853"/>
      <c r="N84" s="853"/>
      <c r="O84" s="853"/>
      <c r="P84" s="853"/>
      <c r="Q84" s="854"/>
      <c r="R84" s="488" t="s">
        <v>359</v>
      </c>
    </row>
    <row r="85" spans="5:20" ht="15" customHeight="1" x14ac:dyDescent="0.25">
      <c r="E85" s="784"/>
      <c r="F85" s="564">
        <v>4679</v>
      </c>
      <c r="G85" s="500">
        <v>44029</v>
      </c>
      <c r="H85" s="501">
        <v>5000</v>
      </c>
      <c r="I85" s="469">
        <f t="shared" si="12"/>
        <v>7.6224508618705187</v>
      </c>
      <c r="J85" s="852" t="s">
        <v>153</v>
      </c>
      <c r="K85" s="853"/>
      <c r="L85" s="853"/>
      <c r="M85" s="853"/>
      <c r="N85" s="853"/>
      <c r="O85" s="853"/>
      <c r="P85" s="853"/>
      <c r="Q85" s="854"/>
      <c r="R85" s="488" t="s">
        <v>358</v>
      </c>
    </row>
    <row r="86" spans="5:20" ht="15" customHeight="1" x14ac:dyDescent="0.25">
      <c r="E86" s="784"/>
      <c r="F86" s="564">
        <v>165789</v>
      </c>
      <c r="G86" s="500">
        <v>44031</v>
      </c>
      <c r="H86" s="501">
        <v>10000</v>
      </c>
      <c r="I86" s="469">
        <f t="shared" si="12"/>
        <v>15.244901723741037</v>
      </c>
      <c r="J86" s="852" t="s">
        <v>153</v>
      </c>
      <c r="K86" s="853"/>
      <c r="L86" s="853"/>
      <c r="M86" s="853"/>
      <c r="N86" s="853"/>
      <c r="O86" s="853"/>
      <c r="P86" s="853"/>
      <c r="Q86" s="854"/>
      <c r="R86" s="488" t="s">
        <v>358</v>
      </c>
    </row>
    <row r="87" spans="5:20" ht="15" customHeight="1" x14ac:dyDescent="0.25">
      <c r="E87" s="784"/>
      <c r="F87" s="564">
        <v>329</v>
      </c>
      <c r="G87" s="500">
        <v>44032</v>
      </c>
      <c r="H87" s="501">
        <v>20000</v>
      </c>
      <c r="I87" s="469">
        <f t="shared" si="12"/>
        <v>30.489803447482075</v>
      </c>
      <c r="J87" s="852" t="s">
        <v>355</v>
      </c>
      <c r="K87" s="853"/>
      <c r="L87" s="853"/>
      <c r="M87" s="853"/>
      <c r="N87" s="853"/>
      <c r="O87" s="853"/>
      <c r="P87" s="853"/>
      <c r="Q87" s="854"/>
      <c r="R87" s="488" t="s">
        <v>358</v>
      </c>
    </row>
    <row r="88" spans="5:20" ht="15" customHeight="1" x14ac:dyDescent="0.25">
      <c r="E88" s="784"/>
      <c r="F88" s="564">
        <v>1852</v>
      </c>
      <c r="G88" s="500">
        <v>44035</v>
      </c>
      <c r="H88" s="501">
        <v>5000</v>
      </c>
      <c r="I88" s="469">
        <f t="shared" si="12"/>
        <v>7.6224508618705187</v>
      </c>
      <c r="J88" s="852" t="s">
        <v>153</v>
      </c>
      <c r="K88" s="853"/>
      <c r="L88" s="853"/>
      <c r="M88" s="853"/>
      <c r="N88" s="853"/>
      <c r="O88" s="853"/>
      <c r="P88" s="853"/>
      <c r="Q88" s="854"/>
      <c r="R88" s="488" t="s">
        <v>358</v>
      </c>
    </row>
    <row r="89" spans="5:20" ht="15" customHeight="1" x14ac:dyDescent="0.25">
      <c r="E89" s="784"/>
      <c r="F89" s="564">
        <v>519260</v>
      </c>
      <c r="G89" s="500">
        <v>44039</v>
      </c>
      <c r="H89" s="501">
        <v>10000</v>
      </c>
      <c r="I89" s="469">
        <f t="shared" si="12"/>
        <v>15.244901723741037</v>
      </c>
      <c r="J89" s="852" t="s">
        <v>153</v>
      </c>
      <c r="K89" s="853"/>
      <c r="L89" s="853"/>
      <c r="M89" s="853"/>
      <c r="N89" s="853"/>
      <c r="O89" s="853"/>
      <c r="P89" s="853"/>
      <c r="Q89" s="854"/>
      <c r="R89" s="559" t="s">
        <v>358</v>
      </c>
    </row>
    <row r="90" spans="5:20" ht="15" customHeight="1" x14ac:dyDescent="0.25">
      <c r="E90" s="784"/>
      <c r="F90" s="565">
        <v>13</v>
      </c>
      <c r="G90" s="500">
        <v>44032</v>
      </c>
      <c r="H90" s="501">
        <v>30000</v>
      </c>
      <c r="I90" s="469">
        <f t="shared" si="12"/>
        <v>45.734705171223112</v>
      </c>
      <c r="J90" s="852" t="s">
        <v>158</v>
      </c>
      <c r="K90" s="853"/>
      <c r="L90" s="853"/>
      <c r="M90" s="853"/>
      <c r="N90" s="853"/>
      <c r="O90" s="853"/>
      <c r="P90" s="853"/>
      <c r="Q90" s="854"/>
      <c r="R90" s="559" t="s">
        <v>359</v>
      </c>
    </row>
    <row r="91" spans="5:20" ht="15" customHeight="1" x14ac:dyDescent="0.25">
      <c r="E91" s="784"/>
      <c r="F91" s="565"/>
      <c r="G91" s="500">
        <v>44034</v>
      </c>
      <c r="H91" s="501">
        <v>150000</v>
      </c>
      <c r="I91" s="469">
        <f t="shared" si="12"/>
        <v>228.67352585611556</v>
      </c>
      <c r="J91" s="762" t="s">
        <v>360</v>
      </c>
      <c r="K91" s="763"/>
      <c r="L91" s="763"/>
      <c r="M91" s="763"/>
      <c r="N91" s="763"/>
      <c r="O91" s="763"/>
      <c r="P91" s="763"/>
      <c r="Q91" s="842"/>
      <c r="R91" s="559" t="s">
        <v>361</v>
      </c>
    </row>
    <row r="92" spans="5:20" x14ac:dyDescent="0.25">
      <c r="E92" s="784"/>
      <c r="F92" s="291">
        <v>2524752</v>
      </c>
      <c r="G92" s="500">
        <v>44034</v>
      </c>
      <c r="H92" s="464">
        <v>36842</v>
      </c>
      <c r="I92" s="469">
        <f t="shared" si="12"/>
        <v>56.165266930606734</v>
      </c>
      <c r="J92" s="762" t="s">
        <v>362</v>
      </c>
      <c r="K92" s="763"/>
      <c r="L92" s="763"/>
      <c r="M92" s="763"/>
      <c r="N92" s="763"/>
      <c r="O92" s="763"/>
      <c r="P92" s="763"/>
      <c r="Q92" s="842"/>
      <c r="R92" s="559" t="s">
        <v>363</v>
      </c>
    </row>
    <row r="93" spans="5:20" ht="15" customHeight="1" x14ac:dyDescent="0.25">
      <c r="E93" s="784"/>
      <c r="F93" s="564"/>
      <c r="G93" s="500">
        <v>44034</v>
      </c>
      <c r="H93" s="501">
        <v>24227</v>
      </c>
      <c r="I93" s="469">
        <f t="shared" si="12"/>
        <v>36.933823406107415</v>
      </c>
      <c r="J93" s="762" t="s">
        <v>364</v>
      </c>
      <c r="K93" s="763"/>
      <c r="L93" s="763"/>
      <c r="M93" s="763"/>
      <c r="N93" s="763"/>
      <c r="O93" s="763"/>
      <c r="P93" s="763"/>
      <c r="Q93" s="842"/>
      <c r="R93" s="559" t="s">
        <v>365</v>
      </c>
    </row>
    <row r="94" spans="5:20" ht="15" customHeight="1" x14ac:dyDescent="0.25">
      <c r="E94" s="784"/>
      <c r="F94" s="539">
        <v>1069</v>
      </c>
      <c r="G94" s="54">
        <v>44050</v>
      </c>
      <c r="H94" s="53">
        <v>8000</v>
      </c>
      <c r="I94" s="469">
        <f t="shared" ref="I94:I120" si="13">H94/$E$82</f>
        <v>12.19592137899283</v>
      </c>
      <c r="J94" s="774" t="s">
        <v>390</v>
      </c>
      <c r="K94" s="774"/>
      <c r="L94" s="774"/>
      <c r="M94" s="774"/>
      <c r="N94" s="774"/>
      <c r="O94" s="774"/>
      <c r="P94" s="774"/>
      <c r="Q94" s="775"/>
      <c r="R94" s="559" t="s">
        <v>39</v>
      </c>
    </row>
    <row r="95" spans="5:20" ht="14.45" customHeight="1" x14ac:dyDescent="0.25">
      <c r="E95" s="784"/>
      <c r="F95" s="77">
        <v>606237</v>
      </c>
      <c r="G95" s="54">
        <v>44051</v>
      </c>
      <c r="H95" s="214">
        <v>10000</v>
      </c>
      <c r="I95" s="469">
        <f t="shared" si="13"/>
        <v>15.244901723741037</v>
      </c>
      <c r="J95" s="763" t="s">
        <v>153</v>
      </c>
      <c r="K95" s="763"/>
      <c r="L95" s="763"/>
      <c r="M95" s="763"/>
      <c r="N95" s="763"/>
      <c r="O95" s="763"/>
      <c r="P95" s="763"/>
      <c r="Q95" s="764"/>
      <c r="R95" s="559" t="s">
        <v>36</v>
      </c>
      <c r="T95" s="350"/>
    </row>
    <row r="96" spans="5:20" ht="15" customHeight="1" x14ac:dyDescent="0.25">
      <c r="E96" s="784"/>
      <c r="F96" s="544">
        <v>519227</v>
      </c>
      <c r="G96" s="54">
        <v>44053</v>
      </c>
      <c r="H96" s="214">
        <v>10000</v>
      </c>
      <c r="I96" s="469">
        <f t="shared" si="13"/>
        <v>15.244901723741037</v>
      </c>
      <c r="J96" s="774" t="s">
        <v>153</v>
      </c>
      <c r="K96" s="774"/>
      <c r="L96" s="774"/>
      <c r="M96" s="774"/>
      <c r="N96" s="774"/>
      <c r="O96" s="774"/>
      <c r="P96" s="774"/>
      <c r="Q96" s="775"/>
      <c r="R96" s="559" t="s">
        <v>36</v>
      </c>
      <c r="T96" s="557"/>
    </row>
    <row r="97" spans="3:20" ht="15" customHeight="1" x14ac:dyDescent="0.25">
      <c r="C97" s="2">
        <v>378562</v>
      </c>
      <c r="E97" s="784"/>
      <c r="F97" s="544"/>
      <c r="G97" s="54">
        <v>44067</v>
      </c>
      <c r="H97" s="214">
        <v>150000</v>
      </c>
      <c r="I97" s="469">
        <f t="shared" si="13"/>
        <v>228.67352585611556</v>
      </c>
      <c r="J97" s="762" t="s">
        <v>391</v>
      </c>
      <c r="K97" s="763"/>
      <c r="L97" s="763"/>
      <c r="M97" s="763"/>
      <c r="N97" s="763"/>
      <c r="O97" s="763"/>
      <c r="P97" s="763"/>
      <c r="Q97" s="842"/>
      <c r="R97" s="559" t="s">
        <v>109</v>
      </c>
    </row>
    <row r="98" spans="3:20" ht="14.45" customHeight="1" x14ac:dyDescent="0.25">
      <c r="E98" s="784"/>
      <c r="F98" s="566"/>
      <c r="G98" s="457">
        <v>44067</v>
      </c>
      <c r="H98" s="215">
        <v>36842</v>
      </c>
      <c r="I98" s="537">
        <f t="shared" si="13"/>
        <v>56.165266930606734</v>
      </c>
      <c r="J98" s="855" t="s">
        <v>362</v>
      </c>
      <c r="K98" s="856"/>
      <c r="L98" s="856"/>
      <c r="M98" s="856"/>
      <c r="N98" s="856"/>
      <c r="O98" s="856"/>
      <c r="P98" s="856"/>
      <c r="Q98" s="857"/>
      <c r="R98" s="559" t="s">
        <v>110</v>
      </c>
    </row>
    <row r="99" spans="3:20" ht="15" customHeight="1" x14ac:dyDescent="0.25">
      <c r="E99" s="784"/>
      <c r="F99" s="539"/>
      <c r="G99" s="54">
        <v>44074</v>
      </c>
      <c r="H99" s="214">
        <v>42320</v>
      </c>
      <c r="I99" s="540">
        <f t="shared" si="13"/>
        <v>64.516424094872079</v>
      </c>
      <c r="J99" s="774" t="s">
        <v>364</v>
      </c>
      <c r="K99" s="774"/>
      <c r="L99" s="774"/>
      <c r="M99" s="774"/>
      <c r="N99" s="774"/>
      <c r="O99" s="774"/>
      <c r="P99" s="774"/>
      <c r="Q99" s="775"/>
      <c r="R99" s="559" t="s">
        <v>108</v>
      </c>
    </row>
    <row r="100" spans="3:20" ht="15" customHeight="1" x14ac:dyDescent="0.25">
      <c r="E100" s="784"/>
      <c r="F100" s="539">
        <v>199</v>
      </c>
      <c r="G100" s="54">
        <v>44068</v>
      </c>
      <c r="H100" s="214">
        <v>17500</v>
      </c>
      <c r="I100" s="540">
        <f t="shared" si="13"/>
        <v>26.678578016546815</v>
      </c>
      <c r="J100" s="763" t="s">
        <v>397</v>
      </c>
      <c r="K100" s="763"/>
      <c r="L100" s="763"/>
      <c r="M100" s="763"/>
      <c r="N100" s="763"/>
      <c r="O100" s="763"/>
      <c r="P100" s="763"/>
      <c r="Q100" s="764"/>
      <c r="R100" s="559" t="s">
        <v>39</v>
      </c>
    </row>
    <row r="101" spans="3:20" ht="15" customHeight="1" x14ac:dyDescent="0.25">
      <c r="E101" s="784"/>
      <c r="F101" s="539">
        <v>3000</v>
      </c>
      <c r="G101" s="54">
        <v>44069</v>
      </c>
      <c r="H101" s="214">
        <v>5000</v>
      </c>
      <c r="I101" s="540">
        <f t="shared" si="13"/>
        <v>7.6224508618705187</v>
      </c>
      <c r="J101" s="774" t="s">
        <v>153</v>
      </c>
      <c r="K101" s="774"/>
      <c r="L101" s="774"/>
      <c r="M101" s="774"/>
      <c r="N101" s="774"/>
      <c r="O101" s="774"/>
      <c r="P101" s="774"/>
      <c r="Q101" s="775"/>
      <c r="R101" s="559" t="s">
        <v>36</v>
      </c>
    </row>
    <row r="102" spans="3:20" ht="15.95" customHeight="1" x14ac:dyDescent="0.25">
      <c r="E102" s="784"/>
      <c r="F102" s="539">
        <v>13</v>
      </c>
      <c r="G102" s="54">
        <v>44074</v>
      </c>
      <c r="H102" s="214">
        <v>8900</v>
      </c>
      <c r="I102" s="540">
        <f t="shared" si="13"/>
        <v>13.567962534129524</v>
      </c>
      <c r="J102" s="763" t="s">
        <v>158</v>
      </c>
      <c r="K102" s="763"/>
      <c r="L102" s="763"/>
      <c r="M102" s="763"/>
      <c r="N102" s="763"/>
      <c r="O102" s="763"/>
      <c r="P102" s="763"/>
      <c r="Q102" s="764"/>
      <c r="R102" s="559" t="s">
        <v>39</v>
      </c>
    </row>
    <row r="103" spans="3:20" ht="15.95" customHeight="1" x14ac:dyDescent="0.25">
      <c r="E103" s="784"/>
      <c r="F103" s="539">
        <v>102</v>
      </c>
      <c r="G103" s="54">
        <v>44052</v>
      </c>
      <c r="H103" s="214">
        <v>30000</v>
      </c>
      <c r="I103" s="540">
        <f t="shared" si="13"/>
        <v>45.734705171223112</v>
      </c>
      <c r="J103" s="774" t="s">
        <v>398</v>
      </c>
      <c r="K103" s="774"/>
      <c r="L103" s="774"/>
      <c r="M103" s="774"/>
      <c r="N103" s="774"/>
      <c r="O103" s="774"/>
      <c r="P103" s="774"/>
      <c r="Q103" s="775"/>
      <c r="R103" s="559" t="s">
        <v>36</v>
      </c>
      <c r="T103" s="558"/>
    </row>
    <row r="104" spans="3:20" ht="15.95" customHeight="1" x14ac:dyDescent="0.25">
      <c r="E104" s="784"/>
      <c r="F104" s="539">
        <v>24</v>
      </c>
      <c r="G104" s="54">
        <v>44071</v>
      </c>
      <c r="H104" s="214">
        <v>60000</v>
      </c>
      <c r="I104" s="540">
        <f t="shared" si="13"/>
        <v>91.469410342446224</v>
      </c>
      <c r="J104" s="774" t="s">
        <v>158</v>
      </c>
      <c r="K104" s="774"/>
      <c r="L104" s="774"/>
      <c r="M104" s="774"/>
      <c r="N104" s="774"/>
      <c r="O104" s="774"/>
      <c r="P104" s="774"/>
      <c r="Q104" s="775"/>
      <c r="R104" s="559" t="s">
        <v>39</v>
      </c>
    </row>
    <row r="105" spans="3:20" ht="15.95" customHeight="1" x14ac:dyDescent="0.25">
      <c r="E105" s="560"/>
      <c r="F105" s="539">
        <v>3001</v>
      </c>
      <c r="G105" s="54">
        <v>44075</v>
      </c>
      <c r="H105" s="214">
        <v>5000</v>
      </c>
      <c r="I105" s="540">
        <f t="shared" si="13"/>
        <v>7.6224508618705187</v>
      </c>
      <c r="J105" s="774" t="s">
        <v>153</v>
      </c>
      <c r="K105" s="774"/>
      <c r="L105" s="774"/>
      <c r="M105" s="774"/>
      <c r="N105" s="774"/>
      <c r="O105" s="774"/>
      <c r="P105" s="774"/>
      <c r="Q105" s="775"/>
      <c r="R105" s="559" t="s">
        <v>36</v>
      </c>
    </row>
    <row r="106" spans="3:20" ht="15.95" customHeight="1" x14ac:dyDescent="0.25">
      <c r="E106" s="560"/>
      <c r="F106" s="539">
        <v>3120</v>
      </c>
      <c r="G106" s="54">
        <v>44080</v>
      </c>
      <c r="H106" s="214">
        <v>3000</v>
      </c>
      <c r="I106" s="540">
        <f t="shared" si="13"/>
        <v>4.5734705171223116</v>
      </c>
      <c r="J106" s="774" t="s">
        <v>423</v>
      </c>
      <c r="K106" s="774"/>
      <c r="L106" s="774"/>
      <c r="M106" s="774"/>
      <c r="N106" s="774"/>
      <c r="O106" s="774"/>
      <c r="P106" s="774"/>
      <c r="Q106" s="775"/>
      <c r="R106" s="559" t="s">
        <v>36</v>
      </c>
    </row>
    <row r="107" spans="3:20" ht="15.95" customHeight="1" x14ac:dyDescent="0.25">
      <c r="E107" s="560"/>
      <c r="F107" s="539">
        <v>618956</v>
      </c>
      <c r="G107" s="54">
        <v>44081</v>
      </c>
      <c r="H107" s="214">
        <v>5000</v>
      </c>
      <c r="I107" s="540">
        <f t="shared" si="13"/>
        <v>7.6224508618705187</v>
      </c>
      <c r="J107" s="774" t="s">
        <v>153</v>
      </c>
      <c r="K107" s="774"/>
      <c r="L107" s="774"/>
      <c r="M107" s="774"/>
      <c r="N107" s="774"/>
      <c r="O107" s="774"/>
      <c r="P107" s="774"/>
      <c r="Q107" s="775"/>
      <c r="R107" s="559" t="s">
        <v>36</v>
      </c>
    </row>
    <row r="108" spans="3:20" ht="15.95" customHeight="1" x14ac:dyDescent="0.25">
      <c r="E108" s="560"/>
      <c r="F108" s="539">
        <v>94826</v>
      </c>
      <c r="G108" s="54">
        <v>44084</v>
      </c>
      <c r="H108" s="214">
        <v>5000</v>
      </c>
      <c r="I108" s="540">
        <f t="shared" si="13"/>
        <v>7.6224508618705187</v>
      </c>
      <c r="J108" s="774" t="s">
        <v>153</v>
      </c>
      <c r="K108" s="774"/>
      <c r="L108" s="774"/>
      <c r="M108" s="774"/>
      <c r="N108" s="774"/>
      <c r="O108" s="774"/>
      <c r="P108" s="774"/>
      <c r="Q108" s="775"/>
      <c r="R108" s="559" t="s">
        <v>36</v>
      </c>
    </row>
    <row r="109" spans="3:20" ht="15.95" customHeight="1" x14ac:dyDescent="0.25">
      <c r="E109" s="560"/>
      <c r="F109" s="539">
        <v>9</v>
      </c>
      <c r="G109" s="54">
        <v>44084</v>
      </c>
      <c r="H109" s="214">
        <v>5000</v>
      </c>
      <c r="I109" s="540">
        <f t="shared" si="13"/>
        <v>7.6224508618705187</v>
      </c>
      <c r="J109" s="774" t="s">
        <v>426</v>
      </c>
      <c r="K109" s="774"/>
      <c r="L109" s="774"/>
      <c r="M109" s="774"/>
      <c r="N109" s="774"/>
      <c r="O109" s="774"/>
      <c r="P109" s="774"/>
      <c r="Q109" s="775"/>
      <c r="R109" s="559" t="s">
        <v>36</v>
      </c>
    </row>
    <row r="110" spans="3:20" ht="15.95" customHeight="1" x14ac:dyDescent="0.25">
      <c r="E110" s="560"/>
      <c r="F110" s="539">
        <v>11</v>
      </c>
      <c r="G110" s="54">
        <v>44084</v>
      </c>
      <c r="H110" s="214">
        <v>5000</v>
      </c>
      <c r="I110" s="540">
        <f t="shared" si="13"/>
        <v>7.6224508618705187</v>
      </c>
      <c r="J110" s="774" t="s">
        <v>428</v>
      </c>
      <c r="K110" s="774"/>
      <c r="L110" s="774"/>
      <c r="M110" s="774"/>
      <c r="N110" s="774"/>
      <c r="O110" s="774"/>
      <c r="P110" s="774"/>
      <c r="Q110" s="775"/>
      <c r="R110" s="559" t="s">
        <v>36</v>
      </c>
    </row>
    <row r="111" spans="3:20" ht="15.95" customHeight="1" x14ac:dyDescent="0.25">
      <c r="E111" s="560"/>
      <c r="F111" s="539">
        <v>106433</v>
      </c>
      <c r="G111" s="54">
        <v>44088</v>
      </c>
      <c r="H111" s="214">
        <v>10000</v>
      </c>
      <c r="I111" s="540">
        <f t="shared" si="13"/>
        <v>15.244901723741037</v>
      </c>
      <c r="J111" s="774" t="s">
        <v>153</v>
      </c>
      <c r="K111" s="774"/>
      <c r="L111" s="774"/>
      <c r="M111" s="774"/>
      <c r="N111" s="774"/>
      <c r="O111" s="774"/>
      <c r="P111" s="774"/>
      <c r="Q111" s="775"/>
      <c r="R111" s="559" t="s">
        <v>36</v>
      </c>
    </row>
    <row r="112" spans="3:20" ht="15.95" customHeight="1" x14ac:dyDescent="0.25">
      <c r="E112" s="560"/>
      <c r="F112" s="539">
        <v>786608</v>
      </c>
      <c r="G112" s="54">
        <v>44090</v>
      </c>
      <c r="H112" s="214">
        <v>10000</v>
      </c>
      <c r="I112" s="540">
        <f t="shared" si="13"/>
        <v>15.244901723741037</v>
      </c>
      <c r="J112" s="774" t="s">
        <v>153</v>
      </c>
      <c r="K112" s="774"/>
      <c r="L112" s="774"/>
      <c r="M112" s="774"/>
      <c r="N112" s="774"/>
      <c r="O112" s="774"/>
      <c r="P112" s="774"/>
      <c r="Q112" s="775"/>
      <c r="R112" s="559" t="s">
        <v>36</v>
      </c>
    </row>
    <row r="113" spans="5:18" ht="15.95" customHeight="1" x14ac:dyDescent="0.25">
      <c r="E113" s="560"/>
      <c r="F113" s="539">
        <v>618128</v>
      </c>
      <c r="G113" s="54">
        <v>44096</v>
      </c>
      <c r="H113" s="214">
        <v>5000</v>
      </c>
      <c r="I113" s="540">
        <f t="shared" si="13"/>
        <v>7.6224508618705187</v>
      </c>
      <c r="J113" s="774" t="s">
        <v>153</v>
      </c>
      <c r="K113" s="774"/>
      <c r="L113" s="774"/>
      <c r="M113" s="774"/>
      <c r="N113" s="774"/>
      <c r="O113" s="774"/>
      <c r="P113" s="774"/>
      <c r="Q113" s="775"/>
      <c r="R113" s="559" t="s">
        <v>36</v>
      </c>
    </row>
    <row r="114" spans="5:18" ht="15.95" customHeight="1" x14ac:dyDescent="0.25">
      <c r="E114" s="560"/>
      <c r="F114" s="539">
        <v>61321</v>
      </c>
      <c r="G114" s="54">
        <v>44102</v>
      </c>
      <c r="H114" s="214">
        <v>5000</v>
      </c>
      <c r="I114" s="540">
        <f t="shared" si="13"/>
        <v>7.6224508618705187</v>
      </c>
      <c r="J114" s="774" t="s">
        <v>153</v>
      </c>
      <c r="K114" s="774"/>
      <c r="L114" s="774"/>
      <c r="M114" s="774"/>
      <c r="N114" s="774"/>
      <c r="O114" s="774"/>
      <c r="P114" s="774"/>
      <c r="Q114" s="775"/>
      <c r="R114" s="559" t="s">
        <v>36</v>
      </c>
    </row>
    <row r="115" spans="5:18" ht="15.95" customHeight="1" x14ac:dyDescent="0.25">
      <c r="E115" s="560"/>
      <c r="F115" s="539"/>
      <c r="G115" s="54">
        <v>44092</v>
      </c>
      <c r="H115" s="214">
        <v>36842</v>
      </c>
      <c r="I115" s="540">
        <f t="shared" si="13"/>
        <v>56.165266930606734</v>
      </c>
      <c r="J115" s="855" t="s">
        <v>451</v>
      </c>
      <c r="K115" s="856"/>
      <c r="L115" s="856"/>
      <c r="M115" s="856"/>
      <c r="N115" s="856"/>
      <c r="O115" s="856"/>
      <c r="P115" s="856"/>
      <c r="Q115" s="857"/>
      <c r="R115" s="559" t="s">
        <v>110</v>
      </c>
    </row>
    <row r="116" spans="5:18" ht="15.95" customHeight="1" x14ac:dyDescent="0.25">
      <c r="E116" s="594"/>
      <c r="F116" s="539"/>
      <c r="G116" s="54">
        <v>44104</v>
      </c>
      <c r="H116" s="214">
        <v>23400</v>
      </c>
      <c r="I116" s="540">
        <f t="shared" si="13"/>
        <v>35.673070033554026</v>
      </c>
      <c r="J116" s="855" t="s">
        <v>249</v>
      </c>
      <c r="K116" s="856"/>
      <c r="L116" s="856"/>
      <c r="M116" s="856"/>
      <c r="N116" s="856"/>
      <c r="O116" s="856"/>
      <c r="P116" s="856"/>
      <c r="Q116" s="857"/>
      <c r="R116" s="593" t="s">
        <v>108</v>
      </c>
    </row>
    <row r="117" spans="5:18" ht="15.95" customHeight="1" x14ac:dyDescent="0.25">
      <c r="E117" s="560"/>
      <c r="F117" s="539"/>
      <c r="G117" s="54">
        <v>44104</v>
      </c>
      <c r="H117" s="214">
        <v>15210</v>
      </c>
      <c r="I117" s="540">
        <f t="shared" si="13"/>
        <v>23.187495521810121</v>
      </c>
      <c r="J117" s="855" t="s">
        <v>494</v>
      </c>
      <c r="K117" s="856"/>
      <c r="L117" s="856"/>
      <c r="M117" s="856"/>
      <c r="N117" s="856"/>
      <c r="O117" s="856"/>
      <c r="P117" s="856"/>
      <c r="Q117" s="857"/>
      <c r="R117" s="648" t="s">
        <v>108</v>
      </c>
    </row>
    <row r="118" spans="5:18" ht="15.95" customHeight="1" x14ac:dyDescent="0.25">
      <c r="E118" s="594"/>
      <c r="F118" s="539"/>
      <c r="G118" s="54">
        <v>44104</v>
      </c>
      <c r="H118" s="214">
        <v>46800</v>
      </c>
      <c r="I118" s="540">
        <f t="shared" si="13"/>
        <v>71.346140067108053</v>
      </c>
      <c r="J118" s="855" t="s">
        <v>350</v>
      </c>
      <c r="K118" s="856"/>
      <c r="L118" s="856"/>
      <c r="M118" s="856"/>
      <c r="N118" s="856"/>
      <c r="O118" s="856"/>
      <c r="P118" s="856"/>
      <c r="Q118" s="857"/>
      <c r="R118" s="648" t="s">
        <v>108</v>
      </c>
    </row>
    <row r="119" spans="5:18" ht="15.95" customHeight="1" x14ac:dyDescent="0.25">
      <c r="E119" s="597"/>
      <c r="F119" s="539">
        <v>2524777</v>
      </c>
      <c r="G119" s="54">
        <v>44097</v>
      </c>
      <c r="H119" s="214">
        <v>150000</v>
      </c>
      <c r="I119" s="540">
        <f t="shared" si="13"/>
        <v>228.67352585611556</v>
      </c>
      <c r="J119" s="855" t="s">
        <v>495</v>
      </c>
      <c r="K119" s="856"/>
      <c r="L119" s="856"/>
      <c r="M119" s="856"/>
      <c r="N119" s="856"/>
      <c r="O119" s="856"/>
      <c r="P119" s="856"/>
      <c r="Q119" s="857"/>
      <c r="R119" s="648" t="s">
        <v>109</v>
      </c>
    </row>
    <row r="120" spans="5:18" ht="15.95" customHeight="1" x14ac:dyDescent="0.25">
      <c r="E120" s="597"/>
      <c r="F120" s="539"/>
      <c r="G120" s="54">
        <v>44097</v>
      </c>
      <c r="H120" s="214">
        <v>30000</v>
      </c>
      <c r="I120" s="540">
        <f t="shared" si="13"/>
        <v>45.734705171223112</v>
      </c>
      <c r="J120" s="855" t="s">
        <v>449</v>
      </c>
      <c r="K120" s="856"/>
      <c r="L120" s="856"/>
      <c r="M120" s="856"/>
      <c r="N120" s="856"/>
      <c r="O120" s="856"/>
      <c r="P120" s="856"/>
      <c r="Q120" s="857"/>
      <c r="R120" s="648" t="s">
        <v>39</v>
      </c>
    </row>
    <row r="121" spans="5:18" ht="15.95" customHeight="1" x14ac:dyDescent="0.25">
      <c r="E121" s="597"/>
      <c r="F121" s="539"/>
      <c r="G121" s="54"/>
      <c r="H121" s="214"/>
      <c r="I121" s="540"/>
      <c r="J121" s="855"/>
      <c r="K121" s="856"/>
      <c r="L121" s="856"/>
      <c r="M121" s="856"/>
      <c r="N121" s="856"/>
      <c r="O121" s="856"/>
      <c r="P121" s="856"/>
      <c r="Q121" s="857"/>
      <c r="R121" s="648"/>
    </row>
    <row r="122" spans="5:18" ht="15.95" customHeight="1" thickBot="1" x14ac:dyDescent="0.3">
      <c r="E122" s="597"/>
      <c r="F122" s="650"/>
      <c r="G122" s="457"/>
      <c r="H122" s="215"/>
      <c r="I122" s="651"/>
      <c r="J122" s="855"/>
      <c r="K122" s="856"/>
      <c r="L122" s="856"/>
      <c r="M122" s="856"/>
      <c r="N122" s="856"/>
      <c r="O122" s="856"/>
      <c r="P122" s="856"/>
      <c r="Q122" s="857"/>
      <c r="R122" s="648"/>
    </row>
    <row r="123" spans="5:18" ht="14.45" thickBot="1" x14ac:dyDescent="0.3">
      <c r="E123" s="64"/>
      <c r="F123" s="736" t="s">
        <v>55</v>
      </c>
      <c r="G123" s="737"/>
      <c r="H123" s="84">
        <f>SUM(H82:H120)</f>
        <v>1063283</v>
      </c>
      <c r="I123" s="470">
        <f>SUM(I82:I120)</f>
        <v>1620.964483952454</v>
      </c>
      <c r="J123" s="738"/>
      <c r="K123" s="738"/>
      <c r="L123" s="738"/>
      <c r="M123" s="738"/>
      <c r="N123" s="738"/>
      <c r="O123" s="738"/>
      <c r="P123" s="738"/>
      <c r="Q123" s="739"/>
      <c r="R123" s="66"/>
    </row>
    <row r="124" spans="5:18" ht="14.45" thickBot="1" x14ac:dyDescent="0.3">
      <c r="E124" s="85">
        <v>655.95699999999999</v>
      </c>
      <c r="F124" s="95">
        <v>2826</v>
      </c>
      <c r="G124" s="50">
        <v>44105</v>
      </c>
      <c r="H124" s="213">
        <v>5000</v>
      </c>
      <c r="I124" s="469">
        <f>H124/$E$124</f>
        <v>7.6224508618705187</v>
      </c>
      <c r="J124" s="770" t="s">
        <v>522</v>
      </c>
      <c r="K124" s="770"/>
      <c r="L124" s="770"/>
      <c r="M124" s="770"/>
      <c r="N124" s="770"/>
      <c r="O124" s="770"/>
      <c r="P124" s="770"/>
      <c r="Q124" s="771"/>
      <c r="R124" s="71" t="s">
        <v>36</v>
      </c>
    </row>
    <row r="125" spans="5:18" ht="15" customHeight="1" x14ac:dyDescent="0.25">
      <c r="E125" s="783"/>
      <c r="F125" s="53">
        <v>618220</v>
      </c>
      <c r="G125" s="54">
        <v>44105</v>
      </c>
      <c r="H125" s="214">
        <v>5000</v>
      </c>
      <c r="I125" s="469">
        <f t="shared" ref="I125:I154" si="14">H125/$E$124</f>
        <v>7.6224508618705187</v>
      </c>
      <c r="J125" s="744" t="s">
        <v>522</v>
      </c>
      <c r="K125" s="744"/>
      <c r="L125" s="744"/>
      <c r="M125" s="744"/>
      <c r="N125" s="744"/>
      <c r="O125" s="744"/>
      <c r="P125" s="744"/>
      <c r="Q125" s="745"/>
      <c r="R125" s="71" t="s">
        <v>36</v>
      </c>
    </row>
    <row r="126" spans="5:18" x14ac:dyDescent="0.25">
      <c r="E126" s="784"/>
      <c r="F126" s="53">
        <v>618996</v>
      </c>
      <c r="G126" s="54">
        <v>44109</v>
      </c>
      <c r="H126" s="214">
        <v>5000</v>
      </c>
      <c r="I126" s="469">
        <f t="shared" si="14"/>
        <v>7.6224508618705187</v>
      </c>
      <c r="J126" s="744" t="s">
        <v>522</v>
      </c>
      <c r="K126" s="744"/>
      <c r="L126" s="744"/>
      <c r="M126" s="744"/>
      <c r="N126" s="744"/>
      <c r="O126" s="744"/>
      <c r="P126" s="744"/>
      <c r="Q126" s="745"/>
      <c r="R126" s="71" t="s">
        <v>36</v>
      </c>
    </row>
    <row r="127" spans="5:18" x14ac:dyDescent="0.25">
      <c r="E127" s="784"/>
      <c r="F127" s="53">
        <v>25</v>
      </c>
      <c r="G127" s="54">
        <v>44110</v>
      </c>
      <c r="H127" s="214">
        <v>39200</v>
      </c>
      <c r="I127" s="469">
        <f t="shared" si="14"/>
        <v>59.760014757064866</v>
      </c>
      <c r="J127" s="744" t="s">
        <v>530</v>
      </c>
      <c r="K127" s="744"/>
      <c r="L127" s="744"/>
      <c r="M127" s="744"/>
      <c r="N127" s="744"/>
      <c r="O127" s="744"/>
      <c r="P127" s="744"/>
      <c r="Q127" s="745"/>
      <c r="R127" s="71" t="s">
        <v>36</v>
      </c>
    </row>
    <row r="128" spans="5:18" x14ac:dyDescent="0.25">
      <c r="E128" s="784"/>
      <c r="F128" s="53">
        <v>27</v>
      </c>
      <c r="G128" s="54">
        <v>44112</v>
      </c>
      <c r="H128" s="214">
        <v>70250</v>
      </c>
      <c r="I128" s="469">
        <f t="shared" si="14"/>
        <v>107.09543460928079</v>
      </c>
      <c r="J128" s="744" t="s">
        <v>536</v>
      </c>
      <c r="K128" s="744"/>
      <c r="L128" s="744"/>
      <c r="M128" s="744"/>
      <c r="N128" s="744"/>
      <c r="O128" s="744"/>
      <c r="P128" s="744"/>
      <c r="Q128" s="745"/>
      <c r="R128" s="71" t="s">
        <v>39</v>
      </c>
    </row>
    <row r="129" spans="5:18" x14ac:dyDescent="0.25">
      <c r="E129" s="784"/>
      <c r="F129" s="53">
        <v>22497</v>
      </c>
      <c r="G129" s="54">
        <v>44114</v>
      </c>
      <c r="H129" s="214">
        <v>5000</v>
      </c>
      <c r="I129" s="469">
        <f t="shared" si="14"/>
        <v>7.6224508618705187</v>
      </c>
      <c r="J129" s="744" t="s">
        <v>522</v>
      </c>
      <c r="K129" s="744"/>
      <c r="L129" s="744"/>
      <c r="M129" s="744"/>
      <c r="N129" s="744"/>
      <c r="O129" s="744"/>
      <c r="P129" s="744"/>
      <c r="Q129" s="745"/>
      <c r="R129" s="71" t="s">
        <v>36</v>
      </c>
    </row>
    <row r="130" spans="5:18" x14ac:dyDescent="0.25">
      <c r="E130" s="784"/>
      <c r="F130" s="53">
        <v>178377</v>
      </c>
      <c r="G130" s="54">
        <v>44115</v>
      </c>
      <c r="H130" s="214">
        <v>14000</v>
      </c>
      <c r="I130" s="469">
        <f t="shared" ref="I130:I144" si="15">H130/$E$124</f>
        <v>21.342862413237452</v>
      </c>
      <c r="J130" s="744" t="s">
        <v>541</v>
      </c>
      <c r="K130" s="744"/>
      <c r="L130" s="744"/>
      <c r="M130" s="744"/>
      <c r="N130" s="744"/>
      <c r="O130" s="744"/>
      <c r="P130" s="744"/>
      <c r="Q130" s="745"/>
      <c r="R130" s="71" t="s">
        <v>36</v>
      </c>
    </row>
    <row r="131" spans="5:18" x14ac:dyDescent="0.25">
      <c r="E131" s="784"/>
      <c r="F131" s="53">
        <v>126882</v>
      </c>
      <c r="G131" s="54">
        <v>44117</v>
      </c>
      <c r="H131" s="214">
        <v>5000</v>
      </c>
      <c r="I131" s="469">
        <f t="shared" si="15"/>
        <v>7.6224508618705187</v>
      </c>
      <c r="J131" s="744" t="s">
        <v>522</v>
      </c>
      <c r="K131" s="744"/>
      <c r="L131" s="744"/>
      <c r="M131" s="744"/>
      <c r="N131" s="744"/>
      <c r="O131" s="744"/>
      <c r="P131" s="744"/>
      <c r="Q131" s="745"/>
      <c r="R131" s="71" t="s">
        <v>36</v>
      </c>
    </row>
    <row r="132" spans="5:18" x14ac:dyDescent="0.25">
      <c r="E132" s="784"/>
      <c r="F132" s="53">
        <v>126894</v>
      </c>
      <c r="G132" s="54">
        <v>44120</v>
      </c>
      <c r="H132" s="214">
        <v>5000</v>
      </c>
      <c r="I132" s="469">
        <f t="shared" si="15"/>
        <v>7.6224508618705187</v>
      </c>
      <c r="J132" s="744" t="s">
        <v>522</v>
      </c>
      <c r="K132" s="744"/>
      <c r="L132" s="744"/>
      <c r="M132" s="744"/>
      <c r="N132" s="744"/>
      <c r="O132" s="744"/>
      <c r="P132" s="744"/>
      <c r="Q132" s="745"/>
      <c r="R132" s="71" t="s">
        <v>36</v>
      </c>
    </row>
    <row r="133" spans="5:18" x14ac:dyDescent="0.25">
      <c r="E133" s="784"/>
      <c r="F133" s="53">
        <v>126608</v>
      </c>
      <c r="G133" s="54">
        <v>44124</v>
      </c>
      <c r="H133" s="214">
        <v>5000</v>
      </c>
      <c r="I133" s="469">
        <f t="shared" si="15"/>
        <v>7.6224508618705187</v>
      </c>
      <c r="J133" s="744" t="s">
        <v>522</v>
      </c>
      <c r="K133" s="744"/>
      <c r="L133" s="744"/>
      <c r="M133" s="744"/>
      <c r="N133" s="744"/>
      <c r="O133" s="744"/>
      <c r="P133" s="744"/>
      <c r="Q133" s="745"/>
      <c r="R133" s="71" t="s">
        <v>36</v>
      </c>
    </row>
    <row r="134" spans="5:18" x14ac:dyDescent="0.25">
      <c r="E134" s="784"/>
      <c r="F134" s="53">
        <v>126625</v>
      </c>
      <c r="G134" s="54">
        <v>44127</v>
      </c>
      <c r="H134" s="214">
        <v>5000</v>
      </c>
      <c r="I134" s="469">
        <f t="shared" si="15"/>
        <v>7.6224508618705187</v>
      </c>
      <c r="J134" s="744" t="s">
        <v>522</v>
      </c>
      <c r="K134" s="744"/>
      <c r="L134" s="744"/>
      <c r="M134" s="744"/>
      <c r="N134" s="744"/>
      <c r="O134" s="744"/>
      <c r="P134" s="744"/>
      <c r="Q134" s="745"/>
      <c r="R134" s="71" t="s">
        <v>36</v>
      </c>
    </row>
    <row r="135" spans="5:18" x14ac:dyDescent="0.25">
      <c r="E135" s="784"/>
      <c r="F135" s="53">
        <v>20</v>
      </c>
      <c r="G135" s="54">
        <v>44128</v>
      </c>
      <c r="H135" s="214">
        <v>19000</v>
      </c>
      <c r="I135" s="469">
        <f t="shared" si="15"/>
        <v>28.965313275107974</v>
      </c>
      <c r="J135" s="744" t="s">
        <v>536</v>
      </c>
      <c r="K135" s="744"/>
      <c r="L135" s="744"/>
      <c r="M135" s="744"/>
      <c r="N135" s="744"/>
      <c r="O135" s="744"/>
      <c r="P135" s="744"/>
      <c r="Q135" s="745"/>
      <c r="R135" s="71" t="s">
        <v>39</v>
      </c>
    </row>
    <row r="136" spans="5:18" x14ac:dyDescent="0.25">
      <c r="E136" s="784"/>
      <c r="F136" s="53">
        <v>3107</v>
      </c>
      <c r="G136" s="54">
        <v>44131</v>
      </c>
      <c r="H136" s="214">
        <v>24500</v>
      </c>
      <c r="I136" s="469">
        <f t="shared" si="15"/>
        <v>37.350009223165543</v>
      </c>
      <c r="J136" s="744" t="s">
        <v>569</v>
      </c>
      <c r="K136" s="744"/>
      <c r="L136" s="744"/>
      <c r="M136" s="744"/>
      <c r="N136" s="744"/>
      <c r="O136" s="744"/>
      <c r="P136" s="744"/>
      <c r="Q136" s="745"/>
      <c r="R136" s="71" t="s">
        <v>37</v>
      </c>
    </row>
    <row r="137" spans="5:18" x14ac:dyDescent="0.25">
      <c r="E137" s="784"/>
      <c r="F137" s="53">
        <v>126690</v>
      </c>
      <c r="G137" s="54">
        <v>44131</v>
      </c>
      <c r="H137" s="214">
        <v>10000</v>
      </c>
      <c r="I137" s="469">
        <f t="shared" si="15"/>
        <v>15.244901723741037</v>
      </c>
      <c r="J137" s="744" t="s">
        <v>522</v>
      </c>
      <c r="K137" s="744"/>
      <c r="L137" s="744"/>
      <c r="M137" s="744"/>
      <c r="N137" s="744"/>
      <c r="O137" s="744"/>
      <c r="P137" s="744"/>
      <c r="Q137" s="745"/>
      <c r="R137" s="71" t="s">
        <v>36</v>
      </c>
    </row>
    <row r="138" spans="5:18" x14ac:dyDescent="0.25">
      <c r="E138" s="784"/>
      <c r="F138" s="53">
        <v>305</v>
      </c>
      <c r="G138" s="54">
        <v>44134</v>
      </c>
      <c r="H138" s="214">
        <v>30000</v>
      </c>
      <c r="I138" s="469">
        <f t="shared" si="15"/>
        <v>45.734705171223112</v>
      </c>
      <c r="J138" s="744" t="s">
        <v>571</v>
      </c>
      <c r="K138" s="744"/>
      <c r="L138" s="744"/>
      <c r="M138" s="744"/>
      <c r="N138" s="744"/>
      <c r="O138" s="744"/>
      <c r="P138" s="744"/>
      <c r="Q138" s="745"/>
      <c r="R138" s="71" t="s">
        <v>36</v>
      </c>
    </row>
    <row r="139" spans="5:18" x14ac:dyDescent="0.25">
      <c r="E139" s="784"/>
      <c r="F139" s="609">
        <v>2524789</v>
      </c>
      <c r="G139" s="608">
        <v>44126</v>
      </c>
      <c r="H139" s="214">
        <v>150000</v>
      </c>
      <c r="I139" s="469">
        <f t="shared" si="15"/>
        <v>228.67352585611556</v>
      </c>
      <c r="J139" s="744" t="s">
        <v>580</v>
      </c>
      <c r="K139" s="744"/>
      <c r="L139" s="744"/>
      <c r="M139" s="744"/>
      <c r="N139" s="744"/>
      <c r="O139" s="744"/>
      <c r="P139" s="744"/>
      <c r="Q139" s="745"/>
      <c r="R139" s="71" t="s">
        <v>109</v>
      </c>
    </row>
    <row r="140" spans="5:18" ht="15" customHeight="1" x14ac:dyDescent="0.25">
      <c r="E140" s="784"/>
      <c r="F140" s="609">
        <v>2524787</v>
      </c>
      <c r="G140" s="608">
        <v>44126</v>
      </c>
      <c r="H140" s="612">
        <v>36842</v>
      </c>
      <c r="I140" s="469">
        <f t="shared" si="15"/>
        <v>56.165266930606734</v>
      </c>
      <c r="J140" s="744" t="s">
        <v>583</v>
      </c>
      <c r="K140" s="744"/>
      <c r="L140" s="744"/>
      <c r="M140" s="744"/>
      <c r="N140" s="744"/>
      <c r="O140" s="744"/>
      <c r="P140" s="744"/>
      <c r="Q140" s="745"/>
      <c r="R140" s="71" t="s">
        <v>110</v>
      </c>
    </row>
    <row r="141" spans="5:18" x14ac:dyDescent="0.25">
      <c r="E141" s="784"/>
      <c r="F141" s="53"/>
      <c r="G141" s="608">
        <v>44131</v>
      </c>
      <c r="H141" s="613">
        <v>5850</v>
      </c>
      <c r="I141" s="469">
        <f t="shared" si="15"/>
        <v>8.9182675083885066</v>
      </c>
      <c r="J141" s="744" t="s">
        <v>598</v>
      </c>
      <c r="K141" s="744"/>
      <c r="L141" s="744"/>
      <c r="M141" s="744"/>
      <c r="N141" s="744"/>
      <c r="O141" s="744"/>
      <c r="P141" s="744"/>
      <c r="Q141" s="745"/>
      <c r="R141" s="71" t="s">
        <v>108</v>
      </c>
    </row>
    <row r="142" spans="5:18" x14ac:dyDescent="0.25">
      <c r="E142" s="784"/>
      <c r="F142" s="53"/>
      <c r="G142" s="608">
        <v>44132</v>
      </c>
      <c r="H142" s="613">
        <v>500</v>
      </c>
      <c r="I142" s="469">
        <f t="shared" si="15"/>
        <v>0.76224508618705189</v>
      </c>
      <c r="J142" s="744" t="s">
        <v>584</v>
      </c>
      <c r="K142" s="744"/>
      <c r="L142" s="744"/>
      <c r="M142" s="744"/>
      <c r="N142" s="744"/>
      <c r="O142" s="744"/>
      <c r="P142" s="744"/>
      <c r="Q142" s="745"/>
      <c r="R142" s="71" t="s">
        <v>108</v>
      </c>
    </row>
    <row r="143" spans="5:18" x14ac:dyDescent="0.25">
      <c r="E143" s="784"/>
      <c r="F143" s="53"/>
      <c r="G143" s="608">
        <v>44134</v>
      </c>
      <c r="H143" s="613">
        <v>15210</v>
      </c>
      <c r="I143" s="469">
        <f t="shared" si="15"/>
        <v>23.187495521810121</v>
      </c>
      <c r="J143" s="744" t="s">
        <v>446</v>
      </c>
      <c r="K143" s="744"/>
      <c r="L143" s="744"/>
      <c r="M143" s="744"/>
      <c r="N143" s="744"/>
      <c r="O143" s="744"/>
      <c r="P143" s="744"/>
      <c r="Q143" s="745"/>
      <c r="R143" s="71" t="s">
        <v>108</v>
      </c>
    </row>
    <row r="144" spans="5:18" x14ac:dyDescent="0.25">
      <c r="E144" s="784"/>
      <c r="F144" s="53"/>
      <c r="G144" s="54"/>
      <c r="H144" s="214"/>
      <c r="I144" s="469">
        <f t="shared" si="15"/>
        <v>0</v>
      </c>
      <c r="J144" s="744"/>
      <c r="K144" s="744"/>
      <c r="L144" s="744"/>
      <c r="M144" s="744"/>
      <c r="N144" s="744"/>
      <c r="O144" s="744"/>
      <c r="P144" s="744"/>
      <c r="Q144" s="745"/>
      <c r="R144" s="71"/>
    </row>
    <row r="145" spans="5:18" x14ac:dyDescent="0.25">
      <c r="E145" s="784"/>
      <c r="F145" s="53"/>
      <c r="G145" s="54"/>
      <c r="H145" s="214"/>
      <c r="I145" s="469">
        <f t="shared" ref="I145:I153" si="16">H145/$E$124</f>
        <v>0</v>
      </c>
      <c r="J145" s="744"/>
      <c r="K145" s="744"/>
      <c r="L145" s="744"/>
      <c r="M145" s="744"/>
      <c r="N145" s="744"/>
      <c r="O145" s="744"/>
      <c r="P145" s="744"/>
      <c r="Q145" s="745"/>
      <c r="R145" s="71"/>
    </row>
    <row r="146" spans="5:18" x14ac:dyDescent="0.25">
      <c r="E146" s="784"/>
      <c r="F146" s="53"/>
      <c r="G146" s="54"/>
      <c r="H146" s="214"/>
      <c r="I146" s="469">
        <f t="shared" si="16"/>
        <v>0</v>
      </c>
      <c r="J146" s="744"/>
      <c r="K146" s="744"/>
      <c r="L146" s="744"/>
      <c r="M146" s="744"/>
      <c r="N146" s="744"/>
      <c r="O146" s="744"/>
      <c r="P146" s="744"/>
      <c r="Q146" s="745"/>
      <c r="R146" s="71"/>
    </row>
    <row r="147" spans="5:18" x14ac:dyDescent="0.25">
      <c r="E147" s="784"/>
      <c r="F147" s="53"/>
      <c r="G147" s="54"/>
      <c r="H147" s="214"/>
      <c r="I147" s="469">
        <f t="shared" si="16"/>
        <v>0</v>
      </c>
      <c r="J147" s="744"/>
      <c r="K147" s="744"/>
      <c r="L147" s="744"/>
      <c r="M147" s="744"/>
      <c r="N147" s="744"/>
      <c r="O147" s="744"/>
      <c r="P147" s="744"/>
      <c r="Q147" s="745"/>
      <c r="R147" s="71"/>
    </row>
    <row r="148" spans="5:18" x14ac:dyDescent="0.25">
      <c r="E148" s="784"/>
      <c r="F148" s="53"/>
      <c r="G148" s="54"/>
      <c r="H148" s="214"/>
      <c r="I148" s="469">
        <f t="shared" si="16"/>
        <v>0</v>
      </c>
      <c r="J148" s="744"/>
      <c r="K148" s="744"/>
      <c r="L148" s="744"/>
      <c r="M148" s="744"/>
      <c r="N148" s="744"/>
      <c r="O148" s="744"/>
      <c r="P148" s="744"/>
      <c r="Q148" s="745"/>
      <c r="R148" s="71"/>
    </row>
    <row r="149" spans="5:18" x14ac:dyDescent="0.25">
      <c r="E149" s="784"/>
      <c r="F149" s="53"/>
      <c r="G149" s="54"/>
      <c r="H149" s="214"/>
      <c r="I149" s="469">
        <f t="shared" si="16"/>
        <v>0</v>
      </c>
      <c r="J149" s="744"/>
      <c r="K149" s="744"/>
      <c r="L149" s="744"/>
      <c r="M149" s="744"/>
      <c r="N149" s="744"/>
      <c r="O149" s="744"/>
      <c r="P149" s="744"/>
      <c r="Q149" s="745"/>
      <c r="R149" s="71"/>
    </row>
    <row r="150" spans="5:18" x14ac:dyDescent="0.25">
      <c r="E150" s="784"/>
      <c r="F150" s="53"/>
      <c r="G150" s="54"/>
      <c r="H150" s="214"/>
      <c r="I150" s="469">
        <f t="shared" si="16"/>
        <v>0</v>
      </c>
      <c r="J150" s="744"/>
      <c r="K150" s="744"/>
      <c r="L150" s="744"/>
      <c r="M150" s="744"/>
      <c r="N150" s="744"/>
      <c r="O150" s="744"/>
      <c r="P150" s="744"/>
      <c r="Q150" s="745"/>
      <c r="R150" s="71"/>
    </row>
    <row r="151" spans="5:18" x14ac:dyDescent="0.25">
      <c r="E151" s="784"/>
      <c r="F151" s="53"/>
      <c r="G151" s="54"/>
      <c r="H151" s="214"/>
      <c r="I151" s="469">
        <f t="shared" si="16"/>
        <v>0</v>
      </c>
      <c r="J151" s="744"/>
      <c r="K151" s="744"/>
      <c r="L151" s="744"/>
      <c r="M151" s="744"/>
      <c r="N151" s="744"/>
      <c r="O151" s="744"/>
      <c r="P151" s="744"/>
      <c r="Q151" s="745"/>
      <c r="R151" s="71"/>
    </row>
    <row r="152" spans="5:18" x14ac:dyDescent="0.25">
      <c r="E152" s="784"/>
      <c r="F152" s="53"/>
      <c r="G152" s="54"/>
      <c r="H152" s="214"/>
      <c r="I152" s="469">
        <f t="shared" si="16"/>
        <v>0</v>
      </c>
      <c r="J152" s="744"/>
      <c r="K152" s="744"/>
      <c r="L152" s="744"/>
      <c r="M152" s="744"/>
      <c r="N152" s="744"/>
      <c r="O152" s="744"/>
      <c r="P152" s="744"/>
      <c r="Q152" s="745"/>
      <c r="R152" s="71"/>
    </row>
    <row r="153" spans="5:18" x14ac:dyDescent="0.25">
      <c r="E153" s="784"/>
      <c r="F153" s="53"/>
      <c r="G153" s="54"/>
      <c r="H153" s="97"/>
      <c r="I153" s="469">
        <f t="shared" si="16"/>
        <v>0</v>
      </c>
      <c r="J153" s="744"/>
      <c r="K153" s="744"/>
      <c r="L153" s="744"/>
      <c r="M153" s="744"/>
      <c r="N153" s="744"/>
      <c r="O153" s="744"/>
      <c r="P153" s="744"/>
      <c r="Q153" s="745"/>
      <c r="R153" s="71"/>
    </row>
    <row r="154" spans="5:18" ht="15.75" thickBot="1" x14ac:dyDescent="0.3">
      <c r="E154" s="784"/>
      <c r="F154" s="98"/>
      <c r="G154" s="457"/>
      <c r="H154" s="99"/>
      <c r="I154" s="469">
        <f t="shared" si="14"/>
        <v>0</v>
      </c>
      <c r="J154" s="823"/>
      <c r="K154" s="755"/>
      <c r="L154" s="755"/>
      <c r="M154" s="755"/>
      <c r="N154" s="755"/>
      <c r="O154" s="755"/>
      <c r="P154" s="755"/>
      <c r="Q154" s="756"/>
      <c r="R154" s="94"/>
    </row>
    <row r="155" spans="5:18" ht="14.45" thickBot="1" x14ac:dyDescent="0.3">
      <c r="E155" s="64"/>
      <c r="F155" s="736" t="s">
        <v>56</v>
      </c>
      <c r="G155" s="737"/>
      <c r="H155" s="84">
        <f>SUM(H124:H154)</f>
        <v>455352</v>
      </c>
      <c r="I155" s="470">
        <f>SUM(I124:I154)</f>
        <v>694.1796489708928</v>
      </c>
      <c r="J155" s="813"/>
      <c r="K155" s="738"/>
      <c r="L155" s="738"/>
      <c r="M155" s="738"/>
      <c r="N155" s="738"/>
      <c r="O155" s="738"/>
      <c r="P155" s="738"/>
      <c r="Q155" s="739"/>
      <c r="R155" s="66"/>
    </row>
    <row r="156" spans="5:18" ht="15.75" thickBot="1" x14ac:dyDescent="0.3">
      <c r="E156" s="100"/>
      <c r="F156" s="101" t="s">
        <v>60</v>
      </c>
      <c r="G156" s="102"/>
      <c r="H156" s="103">
        <f>SUM(H155,H123,H81,H55)</f>
        <v>3199298</v>
      </c>
      <c r="I156" s="471">
        <f>SUM(I155,I123,I81,I55)</f>
        <v>4877.2983594961252</v>
      </c>
      <c r="J156" s="817"/>
      <c r="K156" s="818"/>
      <c r="L156" s="818"/>
      <c r="M156" s="818"/>
      <c r="N156" s="818"/>
      <c r="O156" s="818"/>
      <c r="P156" s="818"/>
      <c r="Q156" s="819"/>
      <c r="R156" s="104"/>
    </row>
  </sheetData>
  <mergeCells count="158">
    <mergeCell ref="J112:Q112"/>
    <mergeCell ref="J146:Q146"/>
    <mergeCell ref="J75:Q75"/>
    <mergeCell ref="J61:Q61"/>
    <mergeCell ref="J62:Q62"/>
    <mergeCell ref="J59:Q59"/>
    <mergeCell ref="J60:Q60"/>
    <mergeCell ref="J76:Q76"/>
    <mergeCell ref="J155:Q155"/>
    <mergeCell ref="J113:Q113"/>
    <mergeCell ref="J114:Q114"/>
    <mergeCell ref="J115:Q115"/>
    <mergeCell ref="J119:Q119"/>
    <mergeCell ref="J120:Q120"/>
    <mergeCell ref="J121:Q121"/>
    <mergeCell ref="J122:Q122"/>
    <mergeCell ref="J118:Q118"/>
    <mergeCell ref="J116:Q116"/>
    <mergeCell ref="J117:Q117"/>
    <mergeCell ref="J140:Q140"/>
    <mergeCell ref="J141:Q141"/>
    <mergeCell ref="J142:Q142"/>
    <mergeCell ref="J143:Q143"/>
    <mergeCell ref="J144:Q144"/>
    <mergeCell ref="J147:Q147"/>
    <mergeCell ref="J148:Q148"/>
    <mergeCell ref="J149:Q149"/>
    <mergeCell ref="J138:Q138"/>
    <mergeCell ref="J145:Q145"/>
    <mergeCell ref="J130:Q130"/>
    <mergeCell ref="J131:Q131"/>
    <mergeCell ref="J132:Q132"/>
    <mergeCell ref="J134:Q134"/>
    <mergeCell ref="J139:Q139"/>
    <mergeCell ref="E83:E104"/>
    <mergeCell ref="J105:Q105"/>
    <mergeCell ref="J63:Q63"/>
    <mergeCell ref="J103:Q103"/>
    <mergeCell ref="J106:Q106"/>
    <mergeCell ref="J107:Q107"/>
    <mergeCell ref="J108:Q108"/>
    <mergeCell ref="J109:Q109"/>
    <mergeCell ref="J110:Q110"/>
    <mergeCell ref="E58:E80"/>
    <mergeCell ref="J58:Q58"/>
    <mergeCell ref="J77:Q77"/>
    <mergeCell ref="J78:Q78"/>
    <mergeCell ref="J79:Q79"/>
    <mergeCell ref="J66:Q66"/>
    <mergeCell ref="J67:Q67"/>
    <mergeCell ref="J70:Q70"/>
    <mergeCell ref="J71:Q71"/>
    <mergeCell ref="J74:Q74"/>
    <mergeCell ref="J111:Q111"/>
    <mergeCell ref="J87:Q87"/>
    <mergeCell ref="J64:Q64"/>
    <mergeCell ref="J65:Q65"/>
    <mergeCell ref="J135:Q135"/>
    <mergeCell ref="J156:Q156"/>
    <mergeCell ref="F123:G123"/>
    <mergeCell ref="J123:Q123"/>
    <mergeCell ref="J124:Q124"/>
    <mergeCell ref="J88:Q88"/>
    <mergeCell ref="J89:Q89"/>
    <mergeCell ref="J90:Q90"/>
    <mergeCell ref="J91:Q91"/>
    <mergeCell ref="J92:Q92"/>
    <mergeCell ref="J97:Q97"/>
    <mergeCell ref="J100:Q100"/>
    <mergeCell ref="J101:Q101"/>
    <mergeCell ref="J102:Q102"/>
    <mergeCell ref="J93:Q93"/>
    <mergeCell ref="J94:Q94"/>
    <mergeCell ref="J95:Q95"/>
    <mergeCell ref="J96:Q96"/>
    <mergeCell ref="J98:Q98"/>
    <mergeCell ref="J99:Q99"/>
    <mergeCell ref="F155:G155"/>
    <mergeCell ref="E125:E154"/>
    <mergeCell ref="J125:Q125"/>
    <mergeCell ref="J126:Q126"/>
    <mergeCell ref="J127:Q127"/>
    <mergeCell ref="J128:Q128"/>
    <mergeCell ref="J129:Q129"/>
    <mergeCell ref="J154:Q154"/>
    <mergeCell ref="J80:Q80"/>
    <mergeCell ref="F81:G81"/>
    <mergeCell ref="J81:Q81"/>
    <mergeCell ref="J82:Q82"/>
    <mergeCell ref="J83:Q83"/>
    <mergeCell ref="J84:Q84"/>
    <mergeCell ref="J85:Q85"/>
    <mergeCell ref="J86:Q86"/>
    <mergeCell ref="J104:Q104"/>
    <mergeCell ref="J150:Q150"/>
    <mergeCell ref="J151:Q151"/>
    <mergeCell ref="J136:Q136"/>
    <mergeCell ref="J137:Q137"/>
    <mergeCell ref="J152:Q152"/>
    <mergeCell ref="J153:Q153"/>
    <mergeCell ref="J133:Q133"/>
    <mergeCell ref="B5:D5"/>
    <mergeCell ref="E5:S5"/>
    <mergeCell ref="B14:D14"/>
    <mergeCell ref="E18:R18"/>
    <mergeCell ref="J32:Q32"/>
    <mergeCell ref="J19:Q19"/>
    <mergeCell ref="F55:G55"/>
    <mergeCell ref="J52:Q52"/>
    <mergeCell ref="J28:Q28"/>
    <mergeCell ref="J26:Q26"/>
    <mergeCell ref="J29:Q29"/>
    <mergeCell ref="J33:Q33"/>
    <mergeCell ref="J35:Q35"/>
    <mergeCell ref="J36:Q36"/>
    <mergeCell ref="J40:Q40"/>
    <mergeCell ref="J55:Q55"/>
    <mergeCell ref="B3:B4"/>
    <mergeCell ref="C3:C4"/>
    <mergeCell ref="D3:D4"/>
    <mergeCell ref="E3:G3"/>
    <mergeCell ref="H3:J3"/>
    <mergeCell ref="K3:M3"/>
    <mergeCell ref="N3:P3"/>
    <mergeCell ref="Q3:S3"/>
    <mergeCell ref="J50:Q50"/>
    <mergeCell ref="J38:Q38"/>
    <mergeCell ref="J22:Q22"/>
    <mergeCell ref="J42:Q42"/>
    <mergeCell ref="J43:Q43"/>
    <mergeCell ref="J44:Q44"/>
    <mergeCell ref="J45:Q45"/>
    <mergeCell ref="J46:Q46"/>
    <mergeCell ref="J20:Q20"/>
    <mergeCell ref="E27:E53"/>
    <mergeCell ref="J27:Q27"/>
    <mergeCell ref="J30:Q30"/>
    <mergeCell ref="J31:Q31"/>
    <mergeCell ref="J37:Q37"/>
    <mergeCell ref="J53:Q53"/>
    <mergeCell ref="J21:Q21"/>
    <mergeCell ref="J56:Q56"/>
    <mergeCell ref="J54:Q54"/>
    <mergeCell ref="J72:Q72"/>
    <mergeCell ref="J73:Q73"/>
    <mergeCell ref="J68:Q68"/>
    <mergeCell ref="J69:Q69"/>
    <mergeCell ref="J25:Q25"/>
    <mergeCell ref="J34:Q34"/>
    <mergeCell ref="J23:Q23"/>
    <mergeCell ref="J24:Q24"/>
    <mergeCell ref="J39:Q39"/>
    <mergeCell ref="J41:Q41"/>
    <mergeCell ref="J48:Q48"/>
    <mergeCell ref="J51:Q51"/>
    <mergeCell ref="J47:Q47"/>
    <mergeCell ref="J49:Q49"/>
    <mergeCell ref="J57:Q57"/>
  </mergeCells>
  <dataValidations count="1">
    <dataValidation type="list" allowBlank="1" showInputMessage="1" showErrorMessage="1" sqref="R26:R28 R30:R31 R34 R37:R39 R41:R48 R51:R59 R62:R64 R67:R81 R94:R156" xr:uid="{00000000-0002-0000-0600-000000000000}">
      <formula1>$E$17:$L$17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S42"/>
  <sheetViews>
    <sheetView topLeftCell="B19" workbookViewId="0">
      <selection activeCell="J32" sqref="J32:Q32"/>
    </sheetView>
  </sheetViews>
  <sheetFormatPr baseColWidth="10" defaultColWidth="11.42578125" defaultRowHeight="15" x14ac:dyDescent="0.25"/>
  <cols>
    <col min="1" max="4" width="11.42578125" style="2"/>
    <col min="5" max="5" width="13.42578125" style="2" customWidth="1"/>
    <col min="6" max="6" width="13.28515625" style="2" customWidth="1"/>
    <col min="7" max="7" width="13.140625" style="2" customWidth="1"/>
    <col min="8" max="8" width="15.140625" style="2" customWidth="1"/>
    <col min="9" max="9" width="11.42578125" style="2"/>
    <col min="10" max="10" width="12.85546875" style="2" customWidth="1"/>
    <col min="11" max="11" width="13" style="2" customWidth="1"/>
    <col min="12" max="12" width="11.42578125" style="2"/>
    <col min="13" max="13" width="13.28515625" style="2" customWidth="1"/>
    <col min="14" max="14" width="13.42578125" style="2" customWidth="1"/>
    <col min="15" max="15" width="11.42578125" style="2"/>
    <col min="16" max="16" width="12.42578125" style="2" customWidth="1"/>
    <col min="17" max="17" width="13" style="2" customWidth="1"/>
    <col min="18" max="18" width="12.42578125" style="2" customWidth="1"/>
    <col min="19" max="19" width="13.140625" style="2" customWidth="1"/>
    <col min="20" max="16384" width="11.42578125" style="2"/>
  </cols>
  <sheetData>
    <row r="2" spans="2:19" ht="15" customHeight="1" thickBot="1" x14ac:dyDescent="0.3"/>
    <row r="3" spans="2:19" ht="15.75" thickBot="1" x14ac:dyDescent="0.3">
      <c r="B3" s="705" t="s">
        <v>2</v>
      </c>
      <c r="C3" s="689" t="s">
        <v>3</v>
      </c>
      <c r="D3" s="691" t="s">
        <v>4</v>
      </c>
      <c r="E3" s="693" t="s">
        <v>43</v>
      </c>
      <c r="F3" s="694"/>
      <c r="G3" s="695"/>
      <c r="H3" s="693" t="s">
        <v>44</v>
      </c>
      <c r="I3" s="694"/>
      <c r="J3" s="695"/>
      <c r="K3" s="721" t="s">
        <v>45</v>
      </c>
      <c r="L3" s="722"/>
      <c r="M3" s="723"/>
      <c r="N3" s="721" t="s">
        <v>46</v>
      </c>
      <c r="O3" s="722"/>
      <c r="P3" s="723"/>
      <c r="Q3" s="712" t="s">
        <v>5</v>
      </c>
      <c r="R3" s="713"/>
      <c r="S3" s="714"/>
    </row>
    <row r="4" spans="2:19" ht="15.75" thickBot="1" x14ac:dyDescent="0.3">
      <c r="B4" s="706"/>
      <c r="C4" s="690"/>
      <c r="D4" s="692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4.45" thickBot="1" x14ac:dyDescent="0.3">
      <c r="B5" s="699" t="s">
        <v>128</v>
      </c>
      <c r="C5" s="700"/>
      <c r="D5" s="701"/>
      <c r="E5" s="686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8"/>
    </row>
    <row r="6" spans="2:19" ht="13.9" x14ac:dyDescent="0.25">
      <c r="B6" s="197"/>
      <c r="C6" s="198" t="s">
        <v>112</v>
      </c>
      <c r="D6" s="130"/>
      <c r="E6" s="106"/>
      <c r="F6" s="107"/>
      <c r="G6" s="108">
        <f t="shared" ref="G6:G8" si="0">E6-F6</f>
        <v>0</v>
      </c>
      <c r="H6" s="106"/>
      <c r="I6" s="107"/>
      <c r="J6" s="108">
        <f t="shared" ref="J6:J8" si="1">H6-I6</f>
        <v>0</v>
      </c>
      <c r="K6" s="106"/>
      <c r="L6" s="107">
        <f>I26</f>
        <v>609.79606894964149</v>
      </c>
      <c r="M6" s="108">
        <f t="shared" ref="M6:M8" si="2">K6-L6</f>
        <v>-609.79606894964149</v>
      </c>
      <c r="N6" s="106">
        <v>750</v>
      </c>
      <c r="O6" s="107"/>
      <c r="P6" s="109">
        <f t="shared" ref="P6:P8" si="3">N6-O6</f>
        <v>750</v>
      </c>
      <c r="Q6" s="110">
        <f t="shared" ref="Q6:R8" si="4">N6+K6+H6+E6</f>
        <v>750</v>
      </c>
      <c r="R6" s="111">
        <f t="shared" si="4"/>
        <v>609.79606894964149</v>
      </c>
      <c r="S6" s="112">
        <f t="shared" ref="S6:S8" si="5">Q6-R6</f>
        <v>140.20393105035851</v>
      </c>
    </row>
    <row r="7" spans="2:19" ht="15.75" thickBot="1" x14ac:dyDescent="0.3">
      <c r="B7" s="119"/>
      <c r="C7" s="135" t="s">
        <v>125</v>
      </c>
      <c r="D7" s="132"/>
      <c r="E7" s="152">
        <v>3963.67</v>
      </c>
      <c r="F7" s="153">
        <f>I14</f>
        <v>3963.6744481726701</v>
      </c>
      <c r="G7" s="24">
        <f t="shared" si="0"/>
        <v>-4.4481726699814317E-3</v>
      </c>
      <c r="H7" s="28"/>
      <c r="I7" s="29"/>
      <c r="J7" s="24">
        <f t="shared" si="1"/>
        <v>0</v>
      </c>
      <c r="K7" s="28"/>
      <c r="L7" s="29"/>
      <c r="M7" s="24">
        <f t="shared" si="2"/>
        <v>0</v>
      </c>
      <c r="N7" s="28"/>
      <c r="O7" s="29"/>
      <c r="P7" s="25">
        <f t="shared" si="3"/>
        <v>0</v>
      </c>
      <c r="Q7" s="22">
        <f t="shared" si="4"/>
        <v>3963.67</v>
      </c>
      <c r="R7" s="23">
        <f t="shared" si="4"/>
        <v>3963.6744481726701</v>
      </c>
      <c r="S7" s="26">
        <f t="shared" si="5"/>
        <v>-4.4481726699814317E-3</v>
      </c>
    </row>
    <row r="8" spans="2:19" ht="14.45" thickBot="1" x14ac:dyDescent="0.3">
      <c r="B8" s="674" t="s">
        <v>129</v>
      </c>
      <c r="C8" s="675"/>
      <c r="D8" s="676"/>
      <c r="E8" s="36">
        <f>SUM(E6:E7)</f>
        <v>3963.67</v>
      </c>
      <c r="F8" s="36">
        <f>SUM(F6:F7)</f>
        <v>3963.6744481726701</v>
      </c>
      <c r="G8" s="37">
        <f t="shared" si="0"/>
        <v>-4.4481726699814317E-3</v>
      </c>
      <c r="H8" s="36">
        <f>SUM(H6:H7)</f>
        <v>0</v>
      </c>
      <c r="I8" s="36">
        <f>SUM(I6:I7)</f>
        <v>0</v>
      </c>
      <c r="J8" s="37">
        <f t="shared" si="1"/>
        <v>0</v>
      </c>
      <c r="K8" s="36">
        <f>SUM(K6:K7)</f>
        <v>0</v>
      </c>
      <c r="L8" s="36">
        <f>SUM(L6:L7)</f>
        <v>609.79606894964149</v>
      </c>
      <c r="M8" s="37">
        <f t="shared" si="2"/>
        <v>-609.79606894964149</v>
      </c>
      <c r="N8" s="36">
        <f>SUM(N6:N7)</f>
        <v>750</v>
      </c>
      <c r="O8" s="36">
        <f>SUM(O6:O7)</f>
        <v>0</v>
      </c>
      <c r="P8" s="37">
        <f t="shared" si="3"/>
        <v>750</v>
      </c>
      <c r="Q8" s="36">
        <f>SUM(Q6:Q7)</f>
        <v>4713.67</v>
      </c>
      <c r="R8" s="38">
        <f t="shared" si="4"/>
        <v>4573.4705171223113</v>
      </c>
      <c r="S8" s="37">
        <f t="shared" si="5"/>
        <v>140.19948287768875</v>
      </c>
    </row>
    <row r="11" spans="2:19" ht="14.45" thickBot="1" x14ac:dyDescent="0.3"/>
    <row r="12" spans="2:19" ht="15.75" thickBot="1" x14ac:dyDescent="0.3">
      <c r="E12" s="749" t="s">
        <v>59</v>
      </c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1"/>
    </row>
    <row r="13" spans="2:19" ht="43.5" thickBot="1" x14ac:dyDescent="0.3">
      <c r="E13" s="39" t="s">
        <v>47</v>
      </c>
      <c r="F13" s="40" t="s">
        <v>48</v>
      </c>
      <c r="G13" s="41" t="s">
        <v>49</v>
      </c>
      <c r="H13" s="42" t="s">
        <v>54</v>
      </c>
      <c r="I13" s="43" t="s">
        <v>50</v>
      </c>
      <c r="J13" s="752" t="s">
        <v>51</v>
      </c>
      <c r="K13" s="753"/>
      <c r="L13" s="753"/>
      <c r="M13" s="753"/>
      <c r="N13" s="753"/>
      <c r="O13" s="753"/>
      <c r="P13" s="753"/>
      <c r="Q13" s="754"/>
      <c r="R13" s="43" t="s">
        <v>52</v>
      </c>
    </row>
    <row r="14" spans="2:19" ht="14.45" thickBot="1" x14ac:dyDescent="0.3">
      <c r="E14" s="44">
        <v>655.95699999999999</v>
      </c>
      <c r="F14" s="45"/>
      <c r="G14" s="46">
        <v>43902</v>
      </c>
      <c r="H14" s="47">
        <v>2600000</v>
      </c>
      <c r="I14" s="190">
        <f>H14/$E$14</f>
        <v>3963.6744481726701</v>
      </c>
      <c r="J14" s="796" t="s">
        <v>251</v>
      </c>
      <c r="K14" s="797"/>
      <c r="L14" s="797"/>
      <c r="M14" s="797"/>
      <c r="N14" s="797"/>
      <c r="O14" s="797"/>
      <c r="P14" s="797"/>
      <c r="Q14" s="798"/>
      <c r="R14" s="48"/>
    </row>
    <row r="15" spans="2:19" x14ac:dyDescent="0.25">
      <c r="E15" s="743"/>
      <c r="F15" s="49"/>
      <c r="G15" s="50"/>
      <c r="H15" s="51"/>
      <c r="I15" s="189">
        <f t="shared" ref="I15:I18" si="6">H15/$E$14</f>
        <v>0</v>
      </c>
      <c r="J15" s="799"/>
      <c r="K15" s="800"/>
      <c r="L15" s="800"/>
      <c r="M15" s="800"/>
      <c r="N15" s="800"/>
      <c r="O15" s="800"/>
      <c r="P15" s="800"/>
      <c r="Q15" s="801"/>
      <c r="R15" s="52"/>
    </row>
    <row r="16" spans="2:19" x14ac:dyDescent="0.25">
      <c r="E16" s="743"/>
      <c r="F16" s="53"/>
      <c r="G16" s="54"/>
      <c r="H16" s="55"/>
      <c r="I16" s="189">
        <f t="shared" si="6"/>
        <v>0</v>
      </c>
      <c r="J16" s="744"/>
      <c r="K16" s="744"/>
      <c r="L16" s="744"/>
      <c r="M16" s="744"/>
      <c r="N16" s="744"/>
      <c r="O16" s="744"/>
      <c r="P16" s="744"/>
      <c r="Q16" s="745"/>
      <c r="R16" s="52"/>
    </row>
    <row r="17" spans="5:18" x14ac:dyDescent="0.25">
      <c r="E17" s="743"/>
      <c r="F17" s="57"/>
      <c r="G17" s="54"/>
      <c r="H17" s="55"/>
      <c r="I17" s="189">
        <f t="shared" si="6"/>
        <v>0</v>
      </c>
      <c r="J17" s="744"/>
      <c r="K17" s="744"/>
      <c r="L17" s="744"/>
      <c r="M17" s="744"/>
      <c r="N17" s="744"/>
      <c r="O17" s="744"/>
      <c r="P17" s="744"/>
      <c r="Q17" s="745"/>
      <c r="R17" s="52"/>
    </row>
    <row r="18" spans="5:18" ht="15.75" thickBot="1" x14ac:dyDescent="0.3">
      <c r="E18" s="743"/>
      <c r="F18" s="53"/>
      <c r="G18" s="54"/>
      <c r="H18" s="55"/>
      <c r="I18" s="189">
        <f t="shared" si="6"/>
        <v>0</v>
      </c>
      <c r="J18" s="744"/>
      <c r="K18" s="744"/>
      <c r="L18" s="744"/>
      <c r="M18" s="744"/>
      <c r="N18" s="744"/>
      <c r="O18" s="744"/>
      <c r="P18" s="744"/>
      <c r="Q18" s="745"/>
      <c r="R18" s="59"/>
    </row>
    <row r="19" spans="5:18" ht="14.45" thickBot="1" x14ac:dyDescent="0.3">
      <c r="E19" s="64"/>
      <c r="F19" s="736" t="s">
        <v>58</v>
      </c>
      <c r="G19" s="737"/>
      <c r="H19" s="65">
        <f>SUM(H14:H18)</f>
        <v>2600000</v>
      </c>
      <c r="I19" s="65">
        <f>SUM(I14:I18)</f>
        <v>3963.6744481726701</v>
      </c>
      <c r="J19" s="738"/>
      <c r="K19" s="738"/>
      <c r="L19" s="738"/>
      <c r="M19" s="738"/>
      <c r="N19" s="738"/>
      <c r="O19" s="738"/>
      <c r="P19" s="738"/>
      <c r="Q19" s="739"/>
      <c r="R19" s="66"/>
    </row>
    <row r="20" spans="5:18" ht="14.45" thickBot="1" x14ac:dyDescent="0.3">
      <c r="E20" s="67">
        <v>1</v>
      </c>
      <c r="F20" s="68"/>
      <c r="G20" s="69"/>
      <c r="H20" s="69"/>
      <c r="I20" s="70">
        <f>H20/$E$20</f>
        <v>0</v>
      </c>
      <c r="J20" s="740"/>
      <c r="K20" s="740"/>
      <c r="L20" s="740"/>
      <c r="M20" s="740"/>
      <c r="N20" s="740"/>
      <c r="O20" s="740"/>
      <c r="P20" s="740"/>
      <c r="Q20" s="741"/>
      <c r="R20" s="71"/>
    </row>
    <row r="21" spans="5:18" x14ac:dyDescent="0.25">
      <c r="E21" s="781"/>
      <c r="F21" s="72"/>
      <c r="G21" s="73"/>
      <c r="H21" s="74"/>
      <c r="I21" s="70">
        <f t="shared" ref="I21:I24" si="7">H21/$E$20</f>
        <v>0</v>
      </c>
      <c r="J21" s="765"/>
      <c r="K21" s="765"/>
      <c r="L21" s="765"/>
      <c r="M21" s="765"/>
      <c r="N21" s="765"/>
      <c r="O21" s="765"/>
      <c r="P21" s="765"/>
      <c r="Q21" s="766"/>
      <c r="R21" s="75"/>
    </row>
    <row r="22" spans="5:18" x14ac:dyDescent="0.25">
      <c r="E22" s="743"/>
      <c r="F22" s="72"/>
      <c r="G22" s="73"/>
      <c r="H22" s="76"/>
      <c r="I22" s="70">
        <f t="shared" si="7"/>
        <v>0</v>
      </c>
      <c r="J22" s="765"/>
      <c r="K22" s="765"/>
      <c r="L22" s="765"/>
      <c r="M22" s="765"/>
      <c r="N22" s="765"/>
      <c r="O22" s="765"/>
      <c r="P22" s="765"/>
      <c r="Q22" s="766"/>
      <c r="R22" s="75"/>
    </row>
    <row r="23" spans="5:18" x14ac:dyDescent="0.25">
      <c r="E23" s="743"/>
      <c r="F23" s="77"/>
      <c r="G23" s="73"/>
      <c r="H23" s="74"/>
      <c r="I23" s="70">
        <f t="shared" si="7"/>
        <v>0</v>
      </c>
      <c r="J23" s="765"/>
      <c r="K23" s="765"/>
      <c r="L23" s="765"/>
      <c r="M23" s="765"/>
      <c r="N23" s="765"/>
      <c r="O23" s="765"/>
      <c r="P23" s="765"/>
      <c r="Q23" s="766"/>
      <c r="R23" s="75"/>
    </row>
    <row r="24" spans="5:18" ht="15.75" thickBot="1" x14ac:dyDescent="0.3">
      <c r="E24" s="743"/>
      <c r="F24" s="77"/>
      <c r="G24" s="73"/>
      <c r="H24" s="74"/>
      <c r="I24" s="70">
        <f t="shared" si="7"/>
        <v>0</v>
      </c>
      <c r="J24" s="765"/>
      <c r="K24" s="765"/>
      <c r="L24" s="765"/>
      <c r="M24" s="765"/>
      <c r="N24" s="765"/>
      <c r="O24" s="765"/>
      <c r="P24" s="765"/>
      <c r="Q24" s="766"/>
      <c r="R24" s="75"/>
    </row>
    <row r="25" spans="5:18" ht="14.45" thickBot="1" x14ac:dyDescent="0.3">
      <c r="E25" s="64"/>
      <c r="F25" s="736" t="s">
        <v>57</v>
      </c>
      <c r="G25" s="737"/>
      <c r="H25" s="84">
        <f>SUM(H20:H24)</f>
        <v>0</v>
      </c>
      <c r="I25" s="191">
        <f>SUM(I20:I24)</f>
        <v>0</v>
      </c>
      <c r="J25" s="738"/>
      <c r="K25" s="738"/>
      <c r="L25" s="738"/>
      <c r="M25" s="738"/>
      <c r="N25" s="738"/>
      <c r="O25" s="738"/>
      <c r="P25" s="738"/>
      <c r="Q25" s="739"/>
      <c r="R25" s="66"/>
    </row>
    <row r="26" spans="5:18" ht="14.45" thickBot="1" x14ac:dyDescent="0.3">
      <c r="E26" s="85">
        <v>655.95699999999999</v>
      </c>
      <c r="F26" s="68">
        <v>1</v>
      </c>
      <c r="G26" s="422">
        <v>44039</v>
      </c>
      <c r="H26" s="426">
        <v>400000</v>
      </c>
      <c r="I26" s="70">
        <f>H26/$E$26</f>
        <v>609.79606894964149</v>
      </c>
      <c r="J26" s="779" t="s">
        <v>356</v>
      </c>
      <c r="K26" s="779"/>
      <c r="L26" s="779"/>
      <c r="M26" s="779"/>
      <c r="N26" s="779"/>
      <c r="O26" s="779"/>
      <c r="P26" s="779"/>
      <c r="Q26" s="780"/>
      <c r="R26" s="71"/>
    </row>
    <row r="27" spans="5:18" x14ac:dyDescent="0.25">
      <c r="E27" s="805"/>
      <c r="F27" s="87"/>
      <c r="G27" s="50"/>
      <c r="H27" s="49"/>
      <c r="I27" s="70">
        <f t="shared" ref="I27:I32" si="8">H27/$E$26</f>
        <v>0</v>
      </c>
      <c r="J27" s="858"/>
      <c r="K27" s="859"/>
      <c r="L27" s="859"/>
      <c r="M27" s="859"/>
      <c r="N27" s="859"/>
      <c r="O27" s="859"/>
      <c r="P27" s="859"/>
      <c r="Q27" s="860"/>
      <c r="R27" s="71"/>
    </row>
    <row r="28" spans="5:18" x14ac:dyDescent="0.25">
      <c r="E28" s="806"/>
      <c r="F28" s="86"/>
      <c r="G28" s="54"/>
      <c r="H28" s="53"/>
      <c r="I28" s="70">
        <f t="shared" si="8"/>
        <v>0</v>
      </c>
      <c r="J28" s="814"/>
      <c r="K28" s="815"/>
      <c r="L28" s="815"/>
      <c r="M28" s="815"/>
      <c r="N28" s="815"/>
      <c r="O28" s="815"/>
      <c r="P28" s="815"/>
      <c r="Q28" s="816"/>
      <c r="R28" s="71"/>
    </row>
    <row r="29" spans="5:18" x14ac:dyDescent="0.25">
      <c r="E29" s="806"/>
      <c r="F29" s="86"/>
      <c r="G29" s="54"/>
      <c r="H29" s="53"/>
      <c r="I29" s="70">
        <f t="shared" si="8"/>
        <v>0</v>
      </c>
      <c r="J29" s="814"/>
      <c r="K29" s="815"/>
      <c r="L29" s="815"/>
      <c r="M29" s="815"/>
      <c r="N29" s="815"/>
      <c r="O29" s="815"/>
      <c r="P29" s="815"/>
      <c r="Q29" s="816"/>
      <c r="R29" s="71"/>
    </row>
    <row r="30" spans="5:18" x14ac:dyDescent="0.25">
      <c r="E30" s="806"/>
      <c r="F30" s="89"/>
      <c r="G30" s="54"/>
      <c r="H30" s="79"/>
      <c r="I30" s="70">
        <f t="shared" si="8"/>
        <v>0</v>
      </c>
      <c r="J30" s="765"/>
      <c r="K30" s="765"/>
      <c r="L30" s="765"/>
      <c r="M30" s="765"/>
      <c r="N30" s="765"/>
      <c r="O30" s="765"/>
      <c r="P30" s="765"/>
      <c r="Q30" s="766"/>
      <c r="R30" s="80"/>
    </row>
    <row r="31" spans="5:18" x14ac:dyDescent="0.25">
      <c r="E31" s="806"/>
      <c r="F31" s="88"/>
      <c r="G31" s="54"/>
      <c r="H31" s="53"/>
      <c r="I31" s="70">
        <f t="shared" si="8"/>
        <v>0</v>
      </c>
      <c r="J31" s="807"/>
      <c r="K31" s="807"/>
      <c r="L31" s="807"/>
      <c r="M31" s="807"/>
      <c r="N31" s="807"/>
      <c r="O31" s="807"/>
      <c r="P31" s="807"/>
      <c r="Q31" s="808"/>
      <c r="R31" s="71"/>
    </row>
    <row r="32" spans="5:18" ht="15.75" thickBot="1" x14ac:dyDescent="0.3">
      <c r="E32" s="806"/>
      <c r="F32" s="89"/>
      <c r="G32" s="54"/>
      <c r="H32" s="79"/>
      <c r="I32" s="70">
        <f t="shared" si="8"/>
        <v>0</v>
      </c>
      <c r="J32" s="765"/>
      <c r="K32" s="765"/>
      <c r="L32" s="765"/>
      <c r="M32" s="765"/>
      <c r="N32" s="765"/>
      <c r="O32" s="765"/>
      <c r="P32" s="765"/>
      <c r="Q32" s="766"/>
      <c r="R32" s="80"/>
    </row>
    <row r="33" spans="5:18" ht="14.45" thickBot="1" x14ac:dyDescent="0.3">
      <c r="E33" s="64"/>
      <c r="F33" s="736" t="s">
        <v>55</v>
      </c>
      <c r="G33" s="737"/>
      <c r="H33" s="84">
        <f>SUM(H26:H32)</f>
        <v>400000</v>
      </c>
      <c r="I33" s="191">
        <f>SUM(I26:I32)</f>
        <v>609.79606894964149</v>
      </c>
      <c r="J33" s="738"/>
      <c r="K33" s="738"/>
      <c r="L33" s="738"/>
      <c r="M33" s="738"/>
      <c r="N33" s="738"/>
      <c r="O33" s="738"/>
      <c r="P33" s="738"/>
      <c r="Q33" s="739"/>
      <c r="R33" s="66"/>
    </row>
    <row r="34" spans="5:18" ht="14.45" thickBot="1" x14ac:dyDescent="0.3">
      <c r="E34" s="85">
        <v>1</v>
      </c>
      <c r="F34" s="95"/>
      <c r="G34" s="96"/>
      <c r="H34" s="96"/>
      <c r="I34" s="70">
        <f>H34/$E$34</f>
        <v>0</v>
      </c>
      <c r="J34" s="770"/>
      <c r="K34" s="770"/>
      <c r="L34" s="770"/>
      <c r="M34" s="770"/>
      <c r="N34" s="770"/>
      <c r="O34" s="770"/>
      <c r="P34" s="770"/>
      <c r="Q34" s="771"/>
      <c r="R34" s="71"/>
    </row>
    <row r="35" spans="5:18" x14ac:dyDescent="0.25">
      <c r="E35" s="783"/>
      <c r="F35" s="53"/>
      <c r="G35" s="97"/>
      <c r="H35" s="97"/>
      <c r="I35" s="70">
        <f t="shared" ref="I35:I40" si="9">H35/$E$34</f>
        <v>0</v>
      </c>
      <c r="J35" s="744"/>
      <c r="K35" s="744"/>
      <c r="L35" s="744"/>
      <c r="M35" s="744"/>
      <c r="N35" s="744"/>
      <c r="O35" s="744"/>
      <c r="P35" s="744"/>
      <c r="Q35" s="745"/>
      <c r="R35" s="71"/>
    </row>
    <row r="36" spans="5:18" x14ac:dyDescent="0.25">
      <c r="E36" s="784"/>
      <c r="F36" s="53"/>
      <c r="G36" s="97"/>
      <c r="H36" s="97"/>
      <c r="I36" s="70">
        <f t="shared" si="9"/>
        <v>0</v>
      </c>
      <c r="J36" s="744"/>
      <c r="K36" s="744"/>
      <c r="L36" s="744"/>
      <c r="M36" s="744"/>
      <c r="N36" s="744"/>
      <c r="O36" s="744"/>
      <c r="P36" s="744"/>
      <c r="Q36" s="745"/>
      <c r="R36" s="71"/>
    </row>
    <row r="37" spans="5:18" x14ac:dyDescent="0.25">
      <c r="E37" s="784"/>
      <c r="F37" s="53"/>
      <c r="G37" s="97"/>
      <c r="H37" s="97"/>
      <c r="I37" s="70">
        <f t="shared" si="9"/>
        <v>0</v>
      </c>
      <c r="J37" s="744"/>
      <c r="K37" s="744"/>
      <c r="L37" s="744"/>
      <c r="M37" s="744"/>
      <c r="N37" s="744"/>
      <c r="O37" s="744"/>
      <c r="P37" s="744"/>
      <c r="Q37" s="745"/>
      <c r="R37" s="71"/>
    </row>
    <row r="38" spans="5:18" x14ac:dyDescent="0.25">
      <c r="E38" s="784"/>
      <c r="F38" s="53"/>
      <c r="G38" s="97"/>
      <c r="H38" s="97"/>
      <c r="I38" s="70">
        <f t="shared" si="9"/>
        <v>0</v>
      </c>
      <c r="J38" s="744"/>
      <c r="K38" s="744"/>
      <c r="L38" s="744"/>
      <c r="M38" s="744"/>
      <c r="N38" s="744"/>
      <c r="O38" s="744"/>
      <c r="P38" s="744"/>
      <c r="Q38" s="745"/>
      <c r="R38" s="71"/>
    </row>
    <row r="39" spans="5:18" x14ac:dyDescent="0.25">
      <c r="E39" s="784"/>
      <c r="F39" s="53"/>
      <c r="G39" s="97"/>
      <c r="H39" s="97"/>
      <c r="I39" s="70">
        <f t="shared" si="9"/>
        <v>0</v>
      </c>
      <c r="J39" s="744"/>
      <c r="K39" s="744"/>
      <c r="L39" s="744"/>
      <c r="M39" s="744"/>
      <c r="N39" s="744"/>
      <c r="O39" s="744"/>
      <c r="P39" s="744"/>
      <c r="Q39" s="745"/>
      <c r="R39" s="71"/>
    </row>
    <row r="40" spans="5:18" ht="15.75" thickBot="1" x14ac:dyDescent="0.3">
      <c r="E40" s="784"/>
      <c r="F40" s="98"/>
      <c r="G40" s="99"/>
      <c r="H40" s="99"/>
      <c r="I40" s="70">
        <f t="shared" si="9"/>
        <v>0</v>
      </c>
      <c r="J40" s="755"/>
      <c r="K40" s="755"/>
      <c r="L40" s="755"/>
      <c r="M40" s="755"/>
      <c r="N40" s="755"/>
      <c r="O40" s="755"/>
      <c r="P40" s="755"/>
      <c r="Q40" s="756"/>
      <c r="R40" s="94"/>
    </row>
    <row r="41" spans="5:18" ht="14.45" thickBot="1" x14ac:dyDescent="0.3">
      <c r="E41" s="64"/>
      <c r="F41" s="736" t="s">
        <v>56</v>
      </c>
      <c r="G41" s="769"/>
      <c r="H41" s="84">
        <f>SUM(H34:H40)</f>
        <v>0</v>
      </c>
      <c r="I41" s="191">
        <f>SUM(I34:I40)</f>
        <v>0</v>
      </c>
      <c r="J41" s="738"/>
      <c r="K41" s="767"/>
      <c r="L41" s="767"/>
      <c r="M41" s="767"/>
      <c r="N41" s="767"/>
      <c r="O41" s="767"/>
      <c r="P41" s="767"/>
      <c r="Q41" s="768"/>
      <c r="R41" s="66"/>
    </row>
    <row r="42" spans="5:18" ht="15.75" thickBot="1" x14ac:dyDescent="0.3">
      <c r="E42" s="100"/>
      <c r="F42" s="101" t="s">
        <v>60</v>
      </c>
      <c r="G42" s="102"/>
      <c r="H42" s="103">
        <f>SUM(H41,H33,H25,H19)</f>
        <v>3000000</v>
      </c>
      <c r="I42" s="103">
        <f>SUM(I41,I33,I25,I19)</f>
        <v>4573.4705171223113</v>
      </c>
      <c r="J42" s="757"/>
      <c r="K42" s="757"/>
      <c r="L42" s="757"/>
      <c r="M42" s="757"/>
      <c r="N42" s="757"/>
      <c r="O42" s="757"/>
      <c r="P42" s="757"/>
      <c r="Q42" s="758"/>
      <c r="R42" s="104"/>
    </row>
  </sheetData>
  <mergeCells count="50">
    <mergeCell ref="E35:E40"/>
    <mergeCell ref="J35:Q35"/>
    <mergeCell ref="J36:Q36"/>
    <mergeCell ref="J37:Q37"/>
    <mergeCell ref="J38:Q38"/>
    <mergeCell ref="J39:Q39"/>
    <mergeCell ref="J40:Q40"/>
    <mergeCell ref="F41:G41"/>
    <mergeCell ref="J41:Q41"/>
    <mergeCell ref="J42:Q42"/>
    <mergeCell ref="F33:G33"/>
    <mergeCell ref="J33:Q33"/>
    <mergeCell ref="J34:Q34"/>
    <mergeCell ref="E27:E32"/>
    <mergeCell ref="J27:Q27"/>
    <mergeCell ref="J28:Q28"/>
    <mergeCell ref="J29:Q29"/>
    <mergeCell ref="J30:Q30"/>
    <mergeCell ref="J31:Q31"/>
    <mergeCell ref="J32:Q32"/>
    <mergeCell ref="F25:G25"/>
    <mergeCell ref="J25:Q25"/>
    <mergeCell ref="J26:Q26"/>
    <mergeCell ref="J23:Q23"/>
    <mergeCell ref="J24:Q24"/>
    <mergeCell ref="F19:G19"/>
    <mergeCell ref="J19:Q19"/>
    <mergeCell ref="J20:Q20"/>
    <mergeCell ref="J22:Q22"/>
    <mergeCell ref="E21:E24"/>
    <mergeCell ref="J21:Q21"/>
    <mergeCell ref="J13:Q13"/>
    <mergeCell ref="J14:Q14"/>
    <mergeCell ref="E15:E18"/>
    <mergeCell ref="J15:Q15"/>
    <mergeCell ref="J16:Q16"/>
    <mergeCell ref="J17:Q17"/>
    <mergeCell ref="J18:Q18"/>
    <mergeCell ref="E12:R12"/>
    <mergeCell ref="B3:B4"/>
    <mergeCell ref="C3:C4"/>
    <mergeCell ref="D3:D4"/>
    <mergeCell ref="E3:G3"/>
    <mergeCell ref="H3:J3"/>
    <mergeCell ref="K3:M3"/>
    <mergeCell ref="N3:P3"/>
    <mergeCell ref="Q3:S3"/>
    <mergeCell ref="B5:D5"/>
    <mergeCell ref="E5:S5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36"/>
  <sheetViews>
    <sheetView topLeftCell="D212" zoomScaleNormal="100" zoomScaleSheetLayoutView="96" workbookViewId="0">
      <selection activeCell="I231" sqref="I231"/>
    </sheetView>
  </sheetViews>
  <sheetFormatPr baseColWidth="10" defaultColWidth="9.140625" defaultRowHeight="15" x14ac:dyDescent="0.25"/>
  <cols>
    <col min="1" max="1" width="15.140625" style="1" customWidth="1"/>
    <col min="2" max="2" width="44.85546875" style="1" customWidth="1"/>
    <col min="3" max="3" width="9.85546875" style="1" customWidth="1"/>
    <col min="4" max="4" width="20.42578125" style="1" customWidth="1"/>
    <col min="5" max="5" width="11.140625" style="1" customWidth="1"/>
    <col min="6" max="6" width="12.140625" style="1" customWidth="1"/>
    <col min="7" max="7" width="12.42578125" style="303" customWidth="1"/>
    <col min="8" max="8" width="17.85546875" style="1" customWidth="1"/>
    <col min="9" max="9" width="78.42578125" style="1" customWidth="1"/>
    <col min="10" max="10" width="18.85546875" style="1" customWidth="1"/>
    <col min="11" max="11" width="22.28515625" style="302" customWidth="1"/>
    <col min="12" max="13" width="12.42578125" style="1" customWidth="1"/>
    <col min="14" max="14" width="10.42578125" style="1" customWidth="1"/>
    <col min="15" max="15" width="13.42578125" style="1" customWidth="1"/>
    <col min="16" max="16" width="14.42578125" style="1" customWidth="1"/>
    <col min="17" max="16384" width="9.140625" style="1"/>
  </cols>
  <sheetData>
    <row r="1" spans="1:18" ht="20.25" x14ac:dyDescent="0.25">
      <c r="A1" s="710" t="s">
        <v>208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230"/>
      <c r="R1" s="230"/>
    </row>
    <row r="2" spans="1:18" ht="20.25" x14ac:dyDescent="0.25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</row>
    <row r="3" spans="1:18" x14ac:dyDescent="0.25">
      <c r="A3" s="231" t="s">
        <v>209</v>
      </c>
      <c r="B3" s="232"/>
      <c r="C3" s="232"/>
      <c r="D3" s="232"/>
      <c r="E3" s="232"/>
      <c r="F3" s="232"/>
      <c r="G3" s="233"/>
      <c r="H3" s="233"/>
      <c r="I3" s="232"/>
      <c r="J3" s="232"/>
      <c r="K3" s="234"/>
      <c r="L3" s="235"/>
      <c r="M3" s="235"/>
      <c r="N3" s="235"/>
      <c r="O3" s="235"/>
      <c r="P3" s="235"/>
    </row>
    <row r="4" spans="1:18" x14ac:dyDescent="0.25">
      <c r="A4" s="231" t="s">
        <v>210</v>
      </c>
      <c r="B4" s="232"/>
      <c r="C4" s="232"/>
      <c r="D4" s="232"/>
      <c r="E4" s="232"/>
      <c r="F4" s="232"/>
      <c r="G4" s="233"/>
      <c r="H4" s="233"/>
      <c r="I4" s="232"/>
      <c r="J4" s="232"/>
      <c r="K4" s="234"/>
      <c r="L4" s="235"/>
      <c r="M4" s="235"/>
      <c r="N4" s="235"/>
      <c r="O4" s="235"/>
      <c r="P4" s="235"/>
    </row>
    <row r="5" spans="1:18" x14ac:dyDescent="0.25">
      <c r="A5" s="231" t="s">
        <v>211</v>
      </c>
      <c r="B5" s="232"/>
      <c r="C5" s="232"/>
      <c r="D5" s="232"/>
      <c r="E5" s="232"/>
      <c r="F5" s="232"/>
      <c r="G5" s="233"/>
      <c r="H5" s="233"/>
      <c r="I5" s="232"/>
      <c r="J5" s="236"/>
      <c r="K5" s="237"/>
      <c r="L5" s="238"/>
      <c r="M5" s="235"/>
      <c r="N5" s="235"/>
      <c r="O5" s="235"/>
      <c r="P5" s="235"/>
    </row>
    <row r="6" spans="1:18" x14ac:dyDescent="0.25">
      <c r="A6" s="239" t="s">
        <v>212</v>
      </c>
      <c r="B6" s="233"/>
      <c r="C6" s="233"/>
      <c r="D6" s="866" t="s">
        <v>213</v>
      </c>
      <c r="E6" s="866"/>
      <c r="F6" s="233"/>
      <c r="G6" s="233"/>
      <c r="H6" s="233"/>
      <c r="I6" s="233"/>
      <c r="J6" s="240"/>
      <c r="K6" s="241" t="s">
        <v>214</v>
      </c>
      <c r="L6" s="242"/>
      <c r="M6" s="235"/>
      <c r="N6" s="235"/>
      <c r="O6" s="235"/>
      <c r="P6" s="235"/>
    </row>
    <row r="7" spans="1:18" x14ac:dyDescent="0.25">
      <c r="A7" s="243" t="s">
        <v>141</v>
      </c>
      <c r="B7" s="243" t="s">
        <v>51</v>
      </c>
      <c r="C7" s="243" t="s">
        <v>215</v>
      </c>
      <c r="D7" s="244" t="s">
        <v>216</v>
      </c>
      <c r="E7" s="243" t="s">
        <v>230</v>
      </c>
      <c r="F7" s="243" t="s">
        <v>141</v>
      </c>
      <c r="G7" s="245" t="s">
        <v>218</v>
      </c>
      <c r="H7" s="245" t="s">
        <v>219</v>
      </c>
      <c r="I7" s="243" t="s">
        <v>220</v>
      </c>
      <c r="J7" s="243" t="s">
        <v>221</v>
      </c>
      <c r="K7" s="297" t="s">
        <v>222</v>
      </c>
      <c r="L7" s="243" t="s">
        <v>230</v>
      </c>
      <c r="M7" s="235"/>
      <c r="N7" s="235"/>
      <c r="O7" s="235"/>
      <c r="P7" s="235"/>
    </row>
    <row r="8" spans="1:18" x14ac:dyDescent="0.25">
      <c r="A8" s="246"/>
      <c r="B8" s="246"/>
      <c r="C8" s="247" t="s">
        <v>148</v>
      </c>
      <c r="D8" s="248"/>
      <c r="E8" s="249"/>
      <c r="F8" s="246"/>
      <c r="G8" s="250" t="s">
        <v>148</v>
      </c>
      <c r="H8" s="250" t="s">
        <v>223</v>
      </c>
      <c r="I8" s="247"/>
      <c r="J8" s="247" t="s">
        <v>224</v>
      </c>
      <c r="K8" s="298"/>
      <c r="L8" s="249"/>
      <c r="M8" s="235"/>
      <c r="N8" s="235"/>
      <c r="O8" s="235"/>
      <c r="P8" s="235"/>
    </row>
    <row r="9" spans="1:18" x14ac:dyDescent="0.25">
      <c r="A9" s="308">
        <v>43855</v>
      </c>
      <c r="B9" s="309" t="s">
        <v>142</v>
      </c>
      <c r="C9" s="310">
        <v>1445727</v>
      </c>
      <c r="D9" s="311">
        <v>400000</v>
      </c>
      <c r="E9" s="280"/>
      <c r="F9" s="54">
        <v>43864</v>
      </c>
      <c r="G9" s="223">
        <v>240</v>
      </c>
      <c r="H9" s="220" t="s">
        <v>36</v>
      </c>
      <c r="I9" s="221" t="s">
        <v>153</v>
      </c>
      <c r="J9" s="257"/>
      <c r="K9" s="299">
        <v>5000</v>
      </c>
      <c r="L9" s="258"/>
      <c r="M9" s="867"/>
      <c r="N9" s="868"/>
      <c r="O9" s="868"/>
      <c r="P9" s="868"/>
    </row>
    <row r="10" spans="1:18" x14ac:dyDescent="0.25">
      <c r="A10" s="312">
        <v>43864</v>
      </c>
      <c r="B10" s="313" t="s">
        <v>143</v>
      </c>
      <c r="C10" s="314">
        <v>1445726</v>
      </c>
      <c r="D10" s="315">
        <v>160000</v>
      </c>
      <c r="E10" s="281"/>
      <c r="F10" s="54">
        <v>43864</v>
      </c>
      <c r="G10" s="223">
        <v>305121</v>
      </c>
      <c r="H10" s="220" t="s">
        <v>36</v>
      </c>
      <c r="I10" s="221" t="s">
        <v>153</v>
      </c>
      <c r="J10" s="257"/>
      <c r="K10" s="300">
        <v>5000</v>
      </c>
      <c r="L10" s="261"/>
      <c r="M10" s="862"/>
      <c r="N10" s="863"/>
      <c r="O10" s="863"/>
      <c r="P10" s="275"/>
    </row>
    <row r="11" spans="1:18" x14ac:dyDescent="0.25">
      <c r="A11" s="272">
        <v>43887</v>
      </c>
      <c r="B11" s="273" t="s">
        <v>194</v>
      </c>
      <c r="C11" s="208">
        <v>1445728</v>
      </c>
      <c r="D11" s="306">
        <v>200000</v>
      </c>
      <c r="E11" s="281"/>
      <c r="F11" s="54">
        <v>43864</v>
      </c>
      <c r="G11" s="223">
        <v>66</v>
      </c>
      <c r="H11" s="220" t="s">
        <v>24</v>
      </c>
      <c r="I11" s="221" t="s">
        <v>169</v>
      </c>
      <c r="J11" s="257"/>
      <c r="K11" s="300">
        <v>25000</v>
      </c>
      <c r="L11" s="261"/>
      <c r="M11" s="864"/>
      <c r="N11" s="865"/>
      <c r="O11" s="276"/>
      <c r="P11" s="277"/>
    </row>
    <row r="12" spans="1:18" x14ac:dyDescent="0.25">
      <c r="A12" s="274">
        <v>43887</v>
      </c>
      <c r="B12" s="273" t="s">
        <v>144</v>
      </c>
      <c r="C12" s="208">
        <v>1445729</v>
      </c>
      <c r="D12" s="307">
        <v>612500</v>
      </c>
      <c r="E12" s="281"/>
      <c r="F12" s="54">
        <v>43864</v>
      </c>
      <c r="G12" s="223">
        <v>67</v>
      </c>
      <c r="H12" s="220" t="s">
        <v>24</v>
      </c>
      <c r="I12" s="221" t="s">
        <v>170</v>
      </c>
      <c r="J12" s="257"/>
      <c r="K12" s="300">
        <v>25000</v>
      </c>
      <c r="L12" s="258"/>
      <c r="M12" s="862"/>
      <c r="N12" s="863"/>
      <c r="O12" s="275"/>
      <c r="P12" s="277"/>
    </row>
    <row r="13" spans="1:18" x14ac:dyDescent="0.25">
      <c r="A13" s="205">
        <v>43887</v>
      </c>
      <c r="B13" s="206" t="s">
        <v>145</v>
      </c>
      <c r="C13" s="207">
        <v>1445731</v>
      </c>
      <c r="D13" s="307">
        <v>2500000</v>
      </c>
      <c r="E13" s="281"/>
      <c r="F13" s="54">
        <v>43864</v>
      </c>
      <c r="G13" s="223">
        <v>68</v>
      </c>
      <c r="H13" s="220" t="s">
        <v>24</v>
      </c>
      <c r="I13" s="221" t="s">
        <v>171</v>
      </c>
      <c r="J13" s="259"/>
      <c r="K13" s="300">
        <v>25000</v>
      </c>
      <c r="L13" s="261"/>
      <c r="M13" s="862"/>
      <c r="N13" s="863"/>
      <c r="O13" s="275"/>
      <c r="P13" s="277"/>
    </row>
    <row r="14" spans="1:18" x14ac:dyDescent="0.25">
      <c r="A14" s="205">
        <v>43887</v>
      </c>
      <c r="B14" s="206" t="s">
        <v>195</v>
      </c>
      <c r="C14" s="207">
        <v>1445732</v>
      </c>
      <c r="D14" s="307">
        <v>480000</v>
      </c>
      <c r="E14" s="281"/>
      <c r="F14" s="54">
        <v>43864</v>
      </c>
      <c r="G14" s="224">
        <v>72</v>
      </c>
      <c r="H14" s="220" t="s">
        <v>24</v>
      </c>
      <c r="I14" s="221" t="s">
        <v>172</v>
      </c>
      <c r="J14" s="257"/>
      <c r="K14" s="300">
        <v>25000</v>
      </c>
      <c r="L14" s="261"/>
      <c r="M14" s="862"/>
      <c r="N14" s="863"/>
      <c r="O14" s="275"/>
      <c r="P14" s="277"/>
    </row>
    <row r="15" spans="1:18" x14ac:dyDescent="0.25">
      <c r="A15" s="205">
        <v>43887</v>
      </c>
      <c r="B15" s="206" t="s">
        <v>146</v>
      </c>
      <c r="C15" s="207">
        <v>1445730</v>
      </c>
      <c r="D15" s="307">
        <v>150000</v>
      </c>
      <c r="E15" s="281"/>
      <c r="F15" s="54">
        <v>43864</v>
      </c>
      <c r="G15" s="224">
        <v>73</v>
      </c>
      <c r="H15" s="220" t="s">
        <v>24</v>
      </c>
      <c r="I15" s="221" t="s">
        <v>173</v>
      </c>
      <c r="J15" s="257"/>
      <c r="K15" s="300">
        <v>25000</v>
      </c>
      <c r="L15" s="261"/>
      <c r="M15" s="862"/>
      <c r="N15" s="863"/>
      <c r="O15" s="275"/>
      <c r="P15" s="277"/>
    </row>
    <row r="16" spans="1:18" x14ac:dyDescent="0.25">
      <c r="A16" s="205">
        <v>43913</v>
      </c>
      <c r="B16" s="206" t="s">
        <v>147</v>
      </c>
      <c r="C16" s="207">
        <v>1445746</v>
      </c>
      <c r="D16" s="307">
        <v>150000</v>
      </c>
      <c r="E16" s="281"/>
      <c r="F16" s="54">
        <v>43864</v>
      </c>
      <c r="G16" s="224">
        <v>86</v>
      </c>
      <c r="H16" s="220" t="s">
        <v>24</v>
      </c>
      <c r="I16" s="221" t="s">
        <v>174</v>
      </c>
      <c r="J16" s="257"/>
      <c r="K16" s="300">
        <v>25000</v>
      </c>
      <c r="L16" s="261"/>
      <c r="M16" s="862"/>
      <c r="N16" s="863"/>
      <c r="O16" s="275"/>
      <c r="P16" s="277"/>
    </row>
    <row r="17" spans="1:16" x14ac:dyDescent="0.25">
      <c r="A17" s="424">
        <v>43941</v>
      </c>
      <c r="B17" s="291" t="s">
        <v>285</v>
      </c>
      <c r="C17" s="291">
        <v>2524729</v>
      </c>
      <c r="D17" s="425">
        <v>150000</v>
      </c>
      <c r="E17" s="281"/>
      <c r="F17" s="54">
        <v>43869</v>
      </c>
      <c r="G17" s="223">
        <v>6</v>
      </c>
      <c r="H17" s="220" t="s">
        <v>27</v>
      </c>
      <c r="I17" s="221" t="s">
        <v>154</v>
      </c>
      <c r="J17" s="257"/>
      <c r="K17" s="299">
        <v>150000</v>
      </c>
      <c r="L17" s="261"/>
      <c r="M17" s="862"/>
      <c r="N17" s="863"/>
      <c r="O17" s="275"/>
      <c r="P17" s="277"/>
    </row>
    <row r="18" spans="1:16" x14ac:dyDescent="0.25">
      <c r="A18" s="291" t="s">
        <v>310</v>
      </c>
      <c r="B18" s="291" t="s">
        <v>311</v>
      </c>
      <c r="C18" s="291">
        <v>2524738</v>
      </c>
      <c r="D18" s="425">
        <v>150000</v>
      </c>
      <c r="E18" s="281"/>
      <c r="F18" s="54">
        <v>43869</v>
      </c>
      <c r="G18" s="223">
        <v>69</v>
      </c>
      <c r="H18" s="220" t="s">
        <v>27</v>
      </c>
      <c r="I18" s="221" t="s">
        <v>155</v>
      </c>
      <c r="J18" s="257"/>
      <c r="K18" s="300">
        <v>120000</v>
      </c>
      <c r="L18" s="261"/>
      <c r="M18" s="278"/>
      <c r="N18" s="279"/>
      <c r="O18" s="275"/>
      <c r="P18" s="277"/>
    </row>
    <row r="19" spans="1:16" x14ac:dyDescent="0.25">
      <c r="A19" s="424">
        <v>44006</v>
      </c>
      <c r="B19" s="291" t="s">
        <v>337</v>
      </c>
      <c r="C19" s="291">
        <v>2524746</v>
      </c>
      <c r="D19" s="291">
        <v>225000</v>
      </c>
      <c r="E19" s="281"/>
      <c r="F19" s="54">
        <v>43869</v>
      </c>
      <c r="G19" s="223">
        <v>77</v>
      </c>
      <c r="H19" s="220" t="s">
        <v>28</v>
      </c>
      <c r="I19" s="221" t="s">
        <v>156</v>
      </c>
      <c r="J19" s="257"/>
      <c r="K19" s="300">
        <v>10000</v>
      </c>
      <c r="L19" s="261"/>
      <c r="M19" s="278"/>
      <c r="N19" s="279"/>
      <c r="O19" s="275"/>
      <c r="P19" s="277"/>
    </row>
    <row r="20" spans="1:16" x14ac:dyDescent="0.25">
      <c r="A20" s="54"/>
      <c r="B20" s="222"/>
      <c r="C20" s="207"/>
      <c r="D20" s="229"/>
      <c r="E20" s="281"/>
      <c r="F20" s="54">
        <v>43869</v>
      </c>
      <c r="G20" s="223">
        <v>70</v>
      </c>
      <c r="H20" s="220" t="s">
        <v>27</v>
      </c>
      <c r="I20" s="221" t="s">
        <v>157</v>
      </c>
      <c r="J20" s="257"/>
      <c r="K20" s="300">
        <v>10000</v>
      </c>
      <c r="L20" s="261"/>
      <c r="M20" s="278"/>
      <c r="N20" s="279"/>
      <c r="O20" s="275"/>
      <c r="P20" s="277"/>
    </row>
    <row r="21" spans="1:16" x14ac:dyDescent="0.25">
      <c r="A21" s="54"/>
      <c r="B21" s="222"/>
      <c r="C21" s="207"/>
      <c r="D21" s="229"/>
      <c r="E21" s="281"/>
      <c r="F21" s="54">
        <v>43887</v>
      </c>
      <c r="G21" s="224">
        <v>10271</v>
      </c>
      <c r="H21" s="220" t="s">
        <v>24</v>
      </c>
      <c r="I21" s="221" t="s">
        <v>175</v>
      </c>
      <c r="J21" s="257"/>
      <c r="K21" s="300">
        <v>16500</v>
      </c>
      <c r="L21" s="261"/>
      <c r="M21" s="278"/>
      <c r="N21" s="279"/>
      <c r="O21" s="275"/>
      <c r="P21" s="277"/>
    </row>
    <row r="22" spans="1:16" x14ac:dyDescent="0.25">
      <c r="A22" s="54"/>
      <c r="B22" s="222"/>
      <c r="C22" s="207"/>
      <c r="D22" s="229"/>
      <c r="E22" s="281"/>
      <c r="F22" s="54">
        <v>43887</v>
      </c>
      <c r="G22" s="224">
        <v>7</v>
      </c>
      <c r="H22" s="220" t="s">
        <v>24</v>
      </c>
      <c r="I22" s="221" t="s">
        <v>175</v>
      </c>
      <c r="J22" s="257"/>
      <c r="K22" s="300">
        <v>33200</v>
      </c>
      <c r="L22" s="261"/>
      <c r="M22" s="278"/>
      <c r="N22" s="279"/>
      <c r="O22" s="275"/>
      <c r="P22" s="277"/>
    </row>
    <row r="23" spans="1:16" x14ac:dyDescent="0.25">
      <c r="A23" s="54"/>
      <c r="B23" s="222"/>
      <c r="C23" s="207"/>
      <c r="D23" s="229"/>
      <c r="E23" s="281"/>
      <c r="F23" s="54">
        <v>43888</v>
      </c>
      <c r="G23" s="223">
        <v>428</v>
      </c>
      <c r="H23" s="220" t="s">
        <v>39</v>
      </c>
      <c r="I23" s="221" t="s">
        <v>158</v>
      </c>
      <c r="J23" s="257"/>
      <c r="K23" s="300">
        <v>19900</v>
      </c>
      <c r="L23" s="261"/>
      <c r="M23" s="278"/>
      <c r="N23" s="279"/>
      <c r="O23" s="275"/>
      <c r="P23" s="277"/>
    </row>
    <row r="24" spans="1:16" x14ac:dyDescent="0.25">
      <c r="A24" s="54"/>
      <c r="B24" s="222"/>
      <c r="C24" s="207"/>
      <c r="D24" s="229"/>
      <c r="E24" s="281"/>
      <c r="F24" s="54">
        <v>43889</v>
      </c>
      <c r="G24" s="223">
        <v>95351</v>
      </c>
      <c r="H24" s="220" t="s">
        <v>36</v>
      </c>
      <c r="I24" s="221" t="s">
        <v>153</v>
      </c>
      <c r="J24" s="257"/>
      <c r="K24" s="300">
        <v>5000</v>
      </c>
      <c r="L24" s="261"/>
      <c r="M24" s="278"/>
      <c r="N24" s="279"/>
      <c r="O24" s="275"/>
      <c r="P24" s="277"/>
    </row>
    <row r="25" spans="1:16" x14ac:dyDescent="0.25">
      <c r="A25" s="54"/>
      <c r="B25" s="222"/>
      <c r="C25" s="207"/>
      <c r="D25" s="229"/>
      <c r="E25" s="281"/>
      <c r="F25" s="54">
        <v>43890</v>
      </c>
      <c r="G25" s="223">
        <v>85</v>
      </c>
      <c r="H25" s="220" t="s">
        <v>30</v>
      </c>
      <c r="I25" s="221" t="s">
        <v>159</v>
      </c>
      <c r="J25" s="257"/>
      <c r="K25" s="299">
        <v>20000</v>
      </c>
      <c r="L25" s="261"/>
      <c r="M25" s="278"/>
      <c r="N25" s="279"/>
      <c r="O25" s="275"/>
      <c r="P25" s="277"/>
    </row>
    <row r="26" spans="1:16" x14ac:dyDescent="0.25">
      <c r="A26" s="54"/>
      <c r="B26" s="222"/>
      <c r="C26" s="207"/>
      <c r="D26" s="229"/>
      <c r="E26" s="281"/>
      <c r="F26" s="54">
        <v>43890</v>
      </c>
      <c r="G26" s="223">
        <v>86</v>
      </c>
      <c r="H26" s="220" t="s">
        <v>30</v>
      </c>
      <c r="I26" s="221" t="s">
        <v>160</v>
      </c>
      <c r="J26" s="257"/>
      <c r="K26" s="300">
        <v>20000</v>
      </c>
      <c r="L26" s="261"/>
      <c r="M26" s="278"/>
      <c r="N26" s="279"/>
      <c r="O26" s="275"/>
      <c r="P26" s="277"/>
    </row>
    <row r="27" spans="1:16" x14ac:dyDescent="0.25">
      <c r="A27" s="54"/>
      <c r="B27" s="222"/>
      <c r="C27" s="207"/>
      <c r="D27" s="229"/>
      <c r="E27" s="281"/>
      <c r="F27" s="54">
        <v>43890</v>
      </c>
      <c r="G27" s="223">
        <v>13</v>
      </c>
      <c r="H27" s="220" t="s">
        <v>30</v>
      </c>
      <c r="I27" s="221" t="s">
        <v>161</v>
      </c>
      <c r="J27" s="257"/>
      <c r="K27" s="300">
        <v>10800</v>
      </c>
      <c r="L27" s="261"/>
      <c r="M27" s="278"/>
      <c r="N27" s="279"/>
      <c r="O27" s="275"/>
      <c r="P27" s="277"/>
    </row>
    <row r="28" spans="1:16" ht="15.75" thickBot="1" x14ac:dyDescent="0.3">
      <c r="A28" s="54"/>
      <c r="B28" s="222"/>
      <c r="C28" s="207"/>
      <c r="D28" s="229"/>
      <c r="E28" s="281"/>
      <c r="F28" s="337">
        <v>43890</v>
      </c>
      <c r="G28" s="338">
        <v>10315</v>
      </c>
      <c r="H28" s="339" t="s">
        <v>30</v>
      </c>
      <c r="I28" s="340" t="s">
        <v>161</v>
      </c>
      <c r="J28" s="341"/>
      <c r="K28" s="342">
        <v>8250</v>
      </c>
      <c r="L28" s="343"/>
      <c r="M28" s="278"/>
      <c r="N28" s="279"/>
      <c r="O28" s="275"/>
      <c r="P28" s="277"/>
    </row>
    <row r="29" spans="1:16" ht="15.75" thickTop="1" x14ac:dyDescent="0.25">
      <c r="A29" s="54"/>
      <c r="B29" s="222"/>
      <c r="C29" s="207"/>
      <c r="D29" s="229"/>
      <c r="E29" s="281"/>
      <c r="F29" s="50">
        <v>43894</v>
      </c>
      <c r="G29" s="331">
        <v>495</v>
      </c>
      <c r="H29" s="332" t="s">
        <v>39</v>
      </c>
      <c r="I29" s="333" t="s">
        <v>158</v>
      </c>
      <c r="J29" s="334"/>
      <c r="K29" s="335">
        <v>138000</v>
      </c>
      <c r="L29" s="336"/>
      <c r="M29" s="278"/>
      <c r="N29" s="279"/>
      <c r="O29" s="275"/>
      <c r="P29" s="277"/>
    </row>
    <row r="30" spans="1:16" x14ac:dyDescent="0.25">
      <c r="A30" s="54"/>
      <c r="B30" s="222"/>
      <c r="C30" s="207"/>
      <c r="D30" s="229"/>
      <c r="E30" s="281"/>
      <c r="F30" s="54">
        <v>43894</v>
      </c>
      <c r="G30" s="223">
        <v>55219</v>
      </c>
      <c r="H30" s="220" t="s">
        <v>36</v>
      </c>
      <c r="I30" s="221" t="s">
        <v>153</v>
      </c>
      <c r="J30" s="257"/>
      <c r="K30" s="300">
        <v>5000</v>
      </c>
      <c r="L30" s="261"/>
      <c r="M30" s="278"/>
      <c r="N30" s="279"/>
      <c r="O30" s="275"/>
      <c r="P30" s="277"/>
    </row>
    <row r="31" spans="1:16" x14ac:dyDescent="0.25">
      <c r="A31" s="54"/>
      <c r="B31" s="222"/>
      <c r="C31" s="207"/>
      <c r="D31" s="229"/>
      <c r="E31" s="281"/>
      <c r="F31" s="54">
        <v>43896</v>
      </c>
      <c r="G31" s="223">
        <v>486</v>
      </c>
      <c r="H31" s="220" t="s">
        <v>39</v>
      </c>
      <c r="I31" s="221" t="s">
        <v>158</v>
      </c>
      <c r="J31" s="257"/>
      <c r="K31" s="300">
        <v>47300</v>
      </c>
      <c r="L31" s="261"/>
      <c r="M31" s="278"/>
      <c r="N31" s="279"/>
      <c r="O31" s="275"/>
      <c r="P31" s="277"/>
    </row>
    <row r="32" spans="1:16" x14ac:dyDescent="0.25">
      <c r="A32" s="54"/>
      <c r="B32" s="222"/>
      <c r="C32" s="207"/>
      <c r="D32" s="229"/>
      <c r="E32" s="281">
        <f t="shared" ref="E32:E33" si="0">E31+D32</f>
        <v>0</v>
      </c>
      <c r="F32" s="54">
        <v>43900</v>
      </c>
      <c r="G32" s="223">
        <v>95321</v>
      </c>
      <c r="H32" s="220" t="s">
        <v>36</v>
      </c>
      <c r="I32" s="221" t="s">
        <v>153</v>
      </c>
      <c r="J32" s="257"/>
      <c r="K32" s="300">
        <v>2000</v>
      </c>
      <c r="L32" s="261"/>
      <c r="M32" s="278"/>
      <c r="N32" s="279"/>
      <c r="O32" s="275"/>
      <c r="P32" s="277"/>
    </row>
    <row r="33" spans="1:16" x14ac:dyDescent="0.25">
      <c r="A33" s="54"/>
      <c r="B33" s="222"/>
      <c r="C33" s="207"/>
      <c r="D33" s="229"/>
      <c r="E33" s="281">
        <f t="shared" si="0"/>
        <v>0</v>
      </c>
      <c r="F33" s="54">
        <v>43900</v>
      </c>
      <c r="G33" s="224">
        <v>95318</v>
      </c>
      <c r="H33" s="220" t="s">
        <v>36</v>
      </c>
      <c r="I33" s="221" t="s">
        <v>153</v>
      </c>
      <c r="J33" s="257"/>
      <c r="K33" s="300">
        <v>5000</v>
      </c>
      <c r="L33" s="261"/>
      <c r="M33" s="278"/>
      <c r="N33" s="279"/>
      <c r="O33" s="275"/>
      <c r="P33" s="277"/>
    </row>
    <row r="34" spans="1:16" x14ac:dyDescent="0.25">
      <c r="A34" s="54"/>
      <c r="B34" s="222"/>
      <c r="C34" s="207"/>
      <c r="D34" s="229"/>
      <c r="E34" s="258"/>
      <c r="F34" s="54">
        <v>43901</v>
      </c>
      <c r="G34" s="224">
        <v>905834</v>
      </c>
      <c r="H34" s="220" t="s">
        <v>36</v>
      </c>
      <c r="I34" s="221" t="s">
        <v>153</v>
      </c>
      <c r="J34" s="257"/>
      <c r="K34" s="300">
        <v>5000</v>
      </c>
      <c r="L34" s="261"/>
      <c r="M34" s="278"/>
      <c r="N34" s="279"/>
      <c r="O34" s="275"/>
      <c r="P34" s="277"/>
    </row>
    <row r="35" spans="1:16" x14ac:dyDescent="0.25">
      <c r="A35" s="54"/>
      <c r="B35" s="222"/>
      <c r="C35" s="207"/>
      <c r="D35" s="229"/>
      <c r="E35" s="258"/>
      <c r="F35" s="54">
        <v>43903</v>
      </c>
      <c r="G35" s="224">
        <v>73</v>
      </c>
      <c r="H35" s="452" t="s">
        <v>36</v>
      </c>
      <c r="I35" s="221" t="s">
        <v>162</v>
      </c>
      <c r="J35" s="257"/>
      <c r="K35" s="300">
        <v>5000</v>
      </c>
      <c r="L35" s="261"/>
      <c r="M35" s="278"/>
      <c r="N35" s="279"/>
      <c r="O35" s="275"/>
      <c r="P35" s="277"/>
    </row>
    <row r="36" spans="1:16" x14ac:dyDescent="0.25">
      <c r="A36" s="54"/>
      <c r="B36" s="222"/>
      <c r="C36" s="207"/>
      <c r="D36" s="229"/>
      <c r="E36" s="258"/>
      <c r="F36" s="54">
        <v>43908</v>
      </c>
      <c r="G36" s="449">
        <v>490</v>
      </c>
      <c r="H36" s="220" t="s">
        <v>137</v>
      </c>
      <c r="I36" s="451" t="s">
        <v>163</v>
      </c>
      <c r="J36" s="257"/>
      <c r="K36" s="299">
        <v>287000</v>
      </c>
      <c r="L36" s="261"/>
      <c r="M36" s="278"/>
      <c r="N36" s="279"/>
      <c r="O36" s="275"/>
      <c r="P36" s="277"/>
    </row>
    <row r="37" spans="1:16" x14ac:dyDescent="0.25">
      <c r="A37" s="54"/>
      <c r="B37" s="222"/>
      <c r="C37" s="207"/>
      <c r="D37" s="229"/>
      <c r="E37" s="258"/>
      <c r="F37" s="54">
        <v>43908</v>
      </c>
      <c r="G37" s="449">
        <v>2344</v>
      </c>
      <c r="H37" s="220" t="s">
        <v>137</v>
      </c>
      <c r="I37" s="451" t="s">
        <v>164</v>
      </c>
      <c r="J37" s="257"/>
      <c r="K37" s="300">
        <v>48000</v>
      </c>
      <c r="L37" s="261"/>
      <c r="M37" s="278"/>
      <c r="N37" s="279"/>
      <c r="O37" s="275"/>
      <c r="P37" s="277"/>
    </row>
    <row r="38" spans="1:16" x14ac:dyDescent="0.25">
      <c r="A38" s="54"/>
      <c r="B38" s="222"/>
      <c r="C38" s="207"/>
      <c r="D38" s="229"/>
      <c r="E38" s="258"/>
      <c r="F38" s="54">
        <v>43908</v>
      </c>
      <c r="G38" s="449">
        <v>10</v>
      </c>
      <c r="H38" s="220" t="s">
        <v>137</v>
      </c>
      <c r="I38" s="451" t="s">
        <v>165</v>
      </c>
      <c r="J38" s="257"/>
      <c r="K38" s="300">
        <v>20000</v>
      </c>
      <c r="L38" s="261"/>
      <c r="M38" s="278"/>
      <c r="N38" s="279"/>
      <c r="O38" s="275"/>
      <c r="P38" s="277"/>
    </row>
    <row r="39" spans="1:16" x14ac:dyDescent="0.25">
      <c r="A39" s="54"/>
      <c r="B39" s="222"/>
      <c r="C39" s="207"/>
      <c r="D39" s="229"/>
      <c r="E39" s="258"/>
      <c r="F39" s="54">
        <v>43909</v>
      </c>
      <c r="G39" s="449">
        <v>1051</v>
      </c>
      <c r="H39" s="220" t="s">
        <v>137</v>
      </c>
      <c r="I39" s="451" t="s">
        <v>166</v>
      </c>
      <c r="J39" s="257"/>
      <c r="K39" s="300">
        <v>153000</v>
      </c>
      <c r="L39" s="261"/>
      <c r="M39" s="278"/>
      <c r="N39" s="279"/>
      <c r="O39" s="275"/>
      <c r="P39" s="277"/>
    </row>
    <row r="40" spans="1:16" x14ac:dyDescent="0.25">
      <c r="A40" s="54"/>
      <c r="B40" s="222"/>
      <c r="C40" s="207"/>
      <c r="D40" s="229"/>
      <c r="E40" s="258"/>
      <c r="F40" s="54">
        <v>43909</v>
      </c>
      <c r="G40" s="450">
        <v>74</v>
      </c>
      <c r="H40" s="220" t="s">
        <v>36</v>
      </c>
      <c r="I40" s="451" t="s">
        <v>162</v>
      </c>
      <c r="J40" s="257"/>
      <c r="K40" s="300">
        <v>3000</v>
      </c>
      <c r="L40" s="261"/>
      <c r="M40" s="278"/>
      <c r="N40" s="279"/>
      <c r="O40" s="275"/>
      <c r="P40" s="277"/>
    </row>
    <row r="41" spans="1:16" x14ac:dyDescent="0.25">
      <c r="A41" s="54"/>
      <c r="B41" s="222"/>
      <c r="C41" s="207"/>
      <c r="D41" s="229"/>
      <c r="E41" s="258"/>
      <c r="F41" s="54">
        <v>43910</v>
      </c>
      <c r="G41" s="449">
        <v>78</v>
      </c>
      <c r="H41" s="220" t="s">
        <v>137</v>
      </c>
      <c r="I41" s="451" t="s">
        <v>167</v>
      </c>
      <c r="J41" s="257"/>
      <c r="K41" s="300">
        <v>50000</v>
      </c>
      <c r="L41" s="261"/>
      <c r="M41" s="278"/>
      <c r="N41" s="279"/>
      <c r="O41" s="275"/>
      <c r="P41" s="277"/>
    </row>
    <row r="42" spans="1:16" x14ac:dyDescent="0.25">
      <c r="A42" s="54"/>
      <c r="B42" s="222"/>
      <c r="C42" s="207"/>
      <c r="D42" s="229"/>
      <c r="E42" s="258"/>
      <c r="F42" s="54">
        <v>43910</v>
      </c>
      <c r="G42" s="224">
        <v>75</v>
      </c>
      <c r="H42" s="220" t="s">
        <v>36</v>
      </c>
      <c r="I42" s="221" t="s">
        <v>168</v>
      </c>
      <c r="J42" s="257"/>
      <c r="K42" s="300">
        <v>5000</v>
      </c>
      <c r="L42" s="261"/>
      <c r="M42" s="278"/>
      <c r="N42" s="279"/>
      <c r="O42" s="275"/>
      <c r="P42" s="277"/>
    </row>
    <row r="43" spans="1:16" x14ac:dyDescent="0.25">
      <c r="A43" s="54"/>
      <c r="B43" s="222"/>
      <c r="C43" s="207"/>
      <c r="D43" s="229"/>
      <c r="E43" s="258"/>
      <c r="F43" s="54">
        <v>43910</v>
      </c>
      <c r="G43" s="224">
        <v>125958</v>
      </c>
      <c r="H43" s="220" t="s">
        <v>36</v>
      </c>
      <c r="I43" s="221" t="s">
        <v>153</v>
      </c>
      <c r="J43" s="257"/>
      <c r="K43" s="300">
        <v>2000</v>
      </c>
      <c r="L43" s="261"/>
      <c r="M43" s="278"/>
      <c r="N43" s="279"/>
      <c r="O43" s="275"/>
      <c r="P43" s="277"/>
    </row>
    <row r="44" spans="1:16" x14ac:dyDescent="0.25">
      <c r="A44" s="54"/>
      <c r="B44" s="222"/>
      <c r="C44" s="207"/>
      <c r="D44" s="229"/>
      <c r="E44" s="258"/>
      <c r="F44" s="54">
        <v>43914</v>
      </c>
      <c r="G44" s="224">
        <v>95005</v>
      </c>
      <c r="H44" s="220" t="s">
        <v>36</v>
      </c>
      <c r="I44" s="221" t="s">
        <v>153</v>
      </c>
      <c r="J44" s="257"/>
      <c r="K44" s="301">
        <v>3000</v>
      </c>
      <c r="L44" s="261"/>
      <c r="M44" s="278"/>
      <c r="N44" s="279"/>
      <c r="O44" s="275"/>
      <c r="P44" s="277"/>
    </row>
    <row r="45" spans="1:16" x14ac:dyDescent="0.25">
      <c r="A45" s="54"/>
      <c r="B45" s="222"/>
      <c r="C45" s="207"/>
      <c r="D45" s="229"/>
      <c r="E45" s="258"/>
      <c r="F45" s="54">
        <v>43921</v>
      </c>
      <c r="G45" s="224">
        <v>65</v>
      </c>
      <c r="H45" s="220" t="s">
        <v>78</v>
      </c>
      <c r="I45" s="221" t="s">
        <v>176</v>
      </c>
      <c r="J45" s="257"/>
      <c r="K45" s="300">
        <v>100000</v>
      </c>
      <c r="L45" s="261"/>
      <c r="M45" s="278"/>
      <c r="N45" s="279"/>
      <c r="O45" s="275"/>
      <c r="P45" s="277"/>
    </row>
    <row r="46" spans="1:16" x14ac:dyDescent="0.25">
      <c r="A46" s="54"/>
      <c r="B46" s="222"/>
      <c r="C46" s="207"/>
      <c r="D46" s="229"/>
      <c r="E46" s="258"/>
      <c r="F46" s="54">
        <v>43921</v>
      </c>
      <c r="G46" s="224">
        <v>76</v>
      </c>
      <c r="H46" s="220" t="s">
        <v>78</v>
      </c>
      <c r="I46" s="221" t="s">
        <v>177</v>
      </c>
      <c r="J46" s="257"/>
      <c r="K46" s="300">
        <v>100000</v>
      </c>
      <c r="L46" s="261"/>
      <c r="M46" s="278"/>
      <c r="N46" s="279"/>
      <c r="O46" s="275"/>
      <c r="P46" s="277"/>
    </row>
    <row r="47" spans="1:16" ht="3" customHeight="1" x14ac:dyDescent="0.25">
      <c r="A47" s="54"/>
      <c r="B47" s="222"/>
      <c r="C47" s="207"/>
      <c r="D47" s="229"/>
      <c r="E47" s="258"/>
      <c r="F47" s="54"/>
      <c r="G47" s="224"/>
      <c r="H47" s="220"/>
      <c r="I47" s="221"/>
      <c r="J47" s="257"/>
      <c r="K47" s="300"/>
      <c r="L47" s="261"/>
      <c r="M47" s="472"/>
      <c r="N47" s="473"/>
      <c r="O47" s="275"/>
      <c r="P47" s="277"/>
    </row>
    <row r="48" spans="1:16" x14ac:dyDescent="0.25">
      <c r="A48" s="54"/>
      <c r="B48" s="222"/>
      <c r="C48" s="207"/>
      <c r="D48" s="229"/>
      <c r="E48" s="258"/>
      <c r="F48" s="422">
        <v>43943</v>
      </c>
      <c r="G48" s="72">
        <v>98</v>
      </c>
      <c r="H48" s="453" t="s">
        <v>30</v>
      </c>
      <c r="I48" s="454" t="s">
        <v>286</v>
      </c>
      <c r="J48" s="454"/>
      <c r="K48" s="428">
        <v>30000</v>
      </c>
      <c r="L48" s="261"/>
      <c r="M48" s="472"/>
      <c r="N48" s="473"/>
      <c r="O48" s="275"/>
      <c r="P48" s="277"/>
    </row>
    <row r="49" spans="1:16" x14ac:dyDescent="0.25">
      <c r="A49" s="54"/>
      <c r="B49" s="222"/>
      <c r="C49" s="207"/>
      <c r="D49" s="229"/>
      <c r="E49" s="258"/>
      <c r="F49" s="73">
        <v>43945</v>
      </c>
      <c r="G49" s="72">
        <v>99</v>
      </c>
      <c r="H49" s="417" t="s">
        <v>30</v>
      </c>
      <c r="I49" s="454" t="s">
        <v>287</v>
      </c>
      <c r="J49" s="454"/>
      <c r="K49" s="428">
        <v>30000</v>
      </c>
      <c r="L49" s="261"/>
      <c r="M49" s="472"/>
      <c r="N49" s="473"/>
      <c r="O49" s="275"/>
      <c r="P49" s="277"/>
    </row>
    <row r="50" spans="1:16" x14ac:dyDescent="0.25">
      <c r="A50" s="54"/>
      <c r="B50" s="222"/>
      <c r="C50" s="207"/>
      <c r="D50" s="229"/>
      <c r="E50" s="258"/>
      <c r="F50" s="73">
        <v>43945</v>
      </c>
      <c r="G50" s="72">
        <v>100</v>
      </c>
      <c r="H50" s="417" t="s">
        <v>30</v>
      </c>
      <c r="I50" s="454" t="s">
        <v>288</v>
      </c>
      <c r="J50" s="454"/>
      <c r="K50" s="428">
        <v>30000</v>
      </c>
      <c r="L50" s="261"/>
      <c r="M50" s="472"/>
      <c r="N50" s="473"/>
      <c r="O50" s="275"/>
      <c r="P50" s="277"/>
    </row>
    <row r="51" spans="1:16" x14ac:dyDescent="0.25">
      <c r="A51" s="54"/>
      <c r="B51" s="222"/>
      <c r="C51" s="207"/>
      <c r="D51" s="229"/>
      <c r="E51" s="258"/>
      <c r="F51" s="422">
        <v>43946</v>
      </c>
      <c r="G51" s="72">
        <v>88</v>
      </c>
      <c r="H51" s="417" t="s">
        <v>30</v>
      </c>
      <c r="I51" s="454" t="s">
        <v>290</v>
      </c>
      <c r="J51" s="454"/>
      <c r="K51" s="428">
        <v>30000</v>
      </c>
      <c r="L51" s="261"/>
      <c r="M51" s="472"/>
      <c r="N51" s="473"/>
      <c r="O51" s="275"/>
      <c r="P51" s="277"/>
    </row>
    <row r="52" spans="1:16" x14ac:dyDescent="0.25">
      <c r="A52" s="54"/>
      <c r="B52" s="222"/>
      <c r="C52" s="207"/>
      <c r="D52" s="229"/>
      <c r="E52" s="258"/>
      <c r="F52" s="73">
        <v>43947</v>
      </c>
      <c r="G52" s="72">
        <v>92</v>
      </c>
      <c r="H52" s="417" t="s">
        <v>30</v>
      </c>
      <c r="I52" s="454" t="s">
        <v>289</v>
      </c>
      <c r="J52" s="454"/>
      <c r="K52" s="428">
        <v>30000</v>
      </c>
      <c r="L52" s="261"/>
      <c r="M52" s="472"/>
      <c r="N52" s="473"/>
      <c r="O52" s="275"/>
      <c r="P52" s="277"/>
    </row>
    <row r="53" spans="1:16" x14ac:dyDescent="0.25">
      <c r="A53" s="54"/>
      <c r="B53" s="222"/>
      <c r="C53" s="207"/>
      <c r="D53" s="229"/>
      <c r="E53" s="258"/>
      <c r="F53" s="73">
        <v>43948</v>
      </c>
      <c r="G53" s="77">
        <v>90</v>
      </c>
      <c r="H53" s="455" t="s">
        <v>30</v>
      </c>
      <c r="I53" s="454" t="s">
        <v>291</v>
      </c>
      <c r="J53" s="454"/>
      <c r="K53" s="428">
        <v>30000</v>
      </c>
      <c r="L53" s="261"/>
      <c r="M53" s="472"/>
      <c r="N53" s="473"/>
      <c r="O53" s="275"/>
      <c r="P53" s="277"/>
    </row>
    <row r="54" spans="1:16" x14ac:dyDescent="0.25">
      <c r="A54" s="54"/>
      <c r="B54" s="222"/>
      <c r="C54" s="207"/>
      <c r="D54" s="229"/>
      <c r="E54" s="258"/>
      <c r="F54" s="73">
        <v>43948</v>
      </c>
      <c r="G54" s="77">
        <v>91</v>
      </c>
      <c r="H54" s="455" t="s">
        <v>30</v>
      </c>
      <c r="I54" s="454" t="s">
        <v>292</v>
      </c>
      <c r="J54" s="454"/>
      <c r="K54" s="428">
        <v>30000</v>
      </c>
      <c r="L54" s="261"/>
      <c r="M54" s="472"/>
      <c r="N54" s="473"/>
      <c r="O54" s="275"/>
      <c r="P54" s="277"/>
    </row>
    <row r="55" spans="1:16" x14ac:dyDescent="0.25">
      <c r="A55" s="54"/>
      <c r="B55" s="222"/>
      <c r="C55" s="207"/>
      <c r="D55" s="229"/>
      <c r="E55" s="258"/>
      <c r="F55" s="73">
        <v>43949</v>
      </c>
      <c r="G55" s="72">
        <v>1052</v>
      </c>
      <c r="H55" s="453" t="s">
        <v>134</v>
      </c>
      <c r="I55" s="454" t="s">
        <v>280</v>
      </c>
      <c r="J55" s="222"/>
      <c r="K55" s="428">
        <v>1170000</v>
      </c>
      <c r="L55" s="261"/>
      <c r="M55" s="472"/>
      <c r="N55" s="473"/>
      <c r="O55" s="275"/>
      <c r="P55" s="277"/>
    </row>
    <row r="56" spans="1:16" x14ac:dyDescent="0.25">
      <c r="A56" s="54"/>
      <c r="B56" s="222"/>
      <c r="C56" s="207"/>
      <c r="D56" s="229"/>
      <c r="E56" s="258"/>
      <c r="F56" s="54">
        <v>43949</v>
      </c>
      <c r="G56" s="58"/>
      <c r="H56" s="453" t="s">
        <v>137</v>
      </c>
      <c r="I56" s="221" t="s">
        <v>283</v>
      </c>
      <c r="J56" s="222"/>
      <c r="K56" s="214">
        <v>1000000</v>
      </c>
      <c r="L56" s="261"/>
      <c r="M56" s="472"/>
      <c r="N56" s="473"/>
      <c r="O56" s="275"/>
      <c r="P56" s="277"/>
    </row>
    <row r="57" spans="1:16" x14ac:dyDescent="0.25">
      <c r="A57" s="54"/>
      <c r="B57" s="222"/>
      <c r="C57" s="207"/>
      <c r="D57" s="229"/>
      <c r="E57" s="258"/>
      <c r="F57" s="73">
        <v>43950</v>
      </c>
      <c r="G57" s="72">
        <v>90</v>
      </c>
      <c r="H57" s="417" t="s">
        <v>131</v>
      </c>
      <c r="I57" s="454" t="s">
        <v>284</v>
      </c>
      <c r="J57" s="222"/>
      <c r="K57" s="428">
        <v>100000</v>
      </c>
      <c r="L57" s="261"/>
      <c r="M57" s="472"/>
      <c r="N57" s="473"/>
      <c r="O57" s="275"/>
      <c r="P57" s="277"/>
    </row>
    <row r="58" spans="1:16" ht="30" x14ac:dyDescent="0.25">
      <c r="A58" s="54"/>
      <c r="B58" s="222"/>
      <c r="C58" s="207"/>
      <c r="D58" s="229"/>
      <c r="E58" s="258"/>
      <c r="F58" s="73">
        <v>43950</v>
      </c>
      <c r="G58" s="77">
        <v>93</v>
      </c>
      <c r="H58" s="455" t="s">
        <v>30</v>
      </c>
      <c r="I58" s="485" t="s">
        <v>293</v>
      </c>
      <c r="J58" s="454"/>
      <c r="K58" s="428">
        <v>30000</v>
      </c>
      <c r="L58" s="261"/>
      <c r="M58" s="472"/>
      <c r="N58" s="473"/>
      <c r="O58" s="275"/>
      <c r="P58" s="277"/>
    </row>
    <row r="59" spans="1:16" ht="30" x14ac:dyDescent="0.25">
      <c r="A59" s="54"/>
      <c r="B59" s="222"/>
      <c r="C59" s="207"/>
      <c r="D59" s="229"/>
      <c r="E59" s="258"/>
      <c r="F59" s="73">
        <v>43950</v>
      </c>
      <c r="G59" s="77">
        <v>94</v>
      </c>
      <c r="H59" s="455" t="s">
        <v>30</v>
      </c>
      <c r="I59" s="485" t="s">
        <v>294</v>
      </c>
      <c r="J59" s="454"/>
      <c r="K59" s="428">
        <v>30000</v>
      </c>
      <c r="L59" s="261"/>
      <c r="M59" s="472"/>
      <c r="N59" s="473"/>
      <c r="O59" s="275"/>
      <c r="P59" s="277"/>
    </row>
    <row r="60" spans="1:16" ht="30" x14ac:dyDescent="0.25">
      <c r="A60" s="54"/>
      <c r="B60" s="222"/>
      <c r="C60" s="207"/>
      <c r="D60" s="229"/>
      <c r="E60" s="258"/>
      <c r="F60" s="73">
        <v>43951</v>
      </c>
      <c r="G60" s="72">
        <v>95</v>
      </c>
      <c r="H60" s="455" t="s">
        <v>30</v>
      </c>
      <c r="I60" s="486" t="s">
        <v>295</v>
      </c>
      <c r="J60" s="454"/>
      <c r="K60" s="428">
        <v>30000</v>
      </c>
      <c r="L60" s="261"/>
      <c r="M60" s="472"/>
      <c r="N60" s="473"/>
      <c r="O60" s="275"/>
      <c r="P60" s="277"/>
    </row>
    <row r="61" spans="1:16" ht="5.25" customHeight="1" x14ac:dyDescent="0.25">
      <c r="A61" s="54"/>
      <c r="B61" s="222"/>
      <c r="C61" s="207"/>
      <c r="D61" s="229"/>
      <c r="E61" s="258"/>
      <c r="F61" s="73"/>
      <c r="G61" s="430"/>
      <c r="H61" s="291"/>
      <c r="I61" s="291"/>
      <c r="J61" s="291"/>
      <c r="K61" s="428"/>
      <c r="L61" s="261"/>
      <c r="M61" s="472"/>
      <c r="N61" s="473"/>
      <c r="O61" s="275"/>
      <c r="P61" s="277"/>
    </row>
    <row r="62" spans="1:16" x14ac:dyDescent="0.25">
      <c r="A62" s="54"/>
      <c r="B62" s="222"/>
      <c r="C62" s="207"/>
      <c r="D62" s="229"/>
      <c r="E62" s="258"/>
      <c r="F62" s="73">
        <v>43956</v>
      </c>
      <c r="G62" s="77">
        <v>53</v>
      </c>
      <c r="H62" s="455" t="s">
        <v>36</v>
      </c>
      <c r="I62" s="466" t="s">
        <v>319</v>
      </c>
      <c r="J62" s="222"/>
      <c r="K62" s="428">
        <v>5000</v>
      </c>
      <c r="L62" s="261"/>
      <c r="M62" s="472"/>
      <c r="N62" s="473"/>
      <c r="O62" s="275"/>
      <c r="P62" s="277"/>
    </row>
    <row r="63" spans="1:16" x14ac:dyDescent="0.25">
      <c r="A63" s="54"/>
      <c r="B63" s="222"/>
      <c r="C63" s="207"/>
      <c r="D63" s="229"/>
      <c r="E63" s="258"/>
      <c r="F63" s="73">
        <v>43956</v>
      </c>
      <c r="G63" s="77">
        <v>54</v>
      </c>
      <c r="H63" s="455" t="s">
        <v>36</v>
      </c>
      <c r="I63" s="466" t="s">
        <v>320</v>
      </c>
      <c r="J63" s="222"/>
      <c r="K63" s="428">
        <v>5000</v>
      </c>
      <c r="L63" s="261"/>
      <c r="M63" s="472"/>
      <c r="N63" s="473"/>
      <c r="O63" s="275"/>
      <c r="P63" s="277"/>
    </row>
    <row r="64" spans="1:16" x14ac:dyDescent="0.25">
      <c r="A64" s="54"/>
      <c r="B64" s="222"/>
      <c r="C64" s="207"/>
      <c r="D64" s="229"/>
      <c r="E64" s="258"/>
      <c r="F64" s="73">
        <v>43959</v>
      </c>
      <c r="G64" s="77">
        <v>58</v>
      </c>
      <c r="H64" s="455" t="s">
        <v>36</v>
      </c>
      <c r="I64" s="466" t="s">
        <v>321</v>
      </c>
      <c r="J64" s="222"/>
      <c r="K64" s="428">
        <v>5000</v>
      </c>
      <c r="L64" s="261"/>
      <c r="M64" s="472"/>
      <c r="N64" s="473"/>
      <c r="O64" s="275"/>
      <c r="P64" s="277"/>
    </row>
    <row r="65" spans="1:18" ht="4.5" customHeight="1" x14ac:dyDescent="0.25">
      <c r="A65" s="54"/>
      <c r="B65" s="222"/>
      <c r="C65" s="207"/>
      <c r="D65" s="229"/>
      <c r="E65" s="258"/>
      <c r="F65" s="54"/>
      <c r="G65" s="224"/>
      <c r="H65" s="220"/>
      <c r="I65" s="221"/>
      <c r="J65" s="257"/>
      <c r="K65" s="515"/>
      <c r="L65" s="261"/>
      <c r="M65" s="472"/>
      <c r="N65" s="473"/>
      <c r="O65" s="275"/>
      <c r="P65" s="277"/>
    </row>
    <row r="66" spans="1:18" x14ac:dyDescent="0.25">
      <c r="A66" s="54"/>
      <c r="B66" s="222"/>
      <c r="C66" s="207"/>
      <c r="D66" s="229"/>
      <c r="E66" s="258"/>
      <c r="F66" s="73">
        <v>44006</v>
      </c>
      <c r="G66" s="77">
        <v>56</v>
      </c>
      <c r="H66" s="476" t="s">
        <v>36</v>
      </c>
      <c r="I66" s="454" t="s">
        <v>332</v>
      </c>
      <c r="J66" s="454"/>
      <c r="K66" s="428">
        <v>5000</v>
      </c>
      <c r="L66" s="261"/>
      <c r="M66" s="472"/>
      <c r="N66" s="473"/>
      <c r="O66" s="275"/>
      <c r="P66" s="277"/>
    </row>
    <row r="67" spans="1:18" x14ac:dyDescent="0.25">
      <c r="A67" s="54"/>
      <c r="B67" s="222"/>
      <c r="C67" s="207"/>
      <c r="D67" s="229"/>
      <c r="E67" s="258"/>
      <c r="F67" s="73">
        <v>44006</v>
      </c>
      <c r="G67" s="77">
        <v>55</v>
      </c>
      <c r="H67" s="476" t="s">
        <v>36</v>
      </c>
      <c r="I67" s="454" t="s">
        <v>333</v>
      </c>
      <c r="J67" s="454"/>
      <c r="K67" s="428">
        <v>5000</v>
      </c>
      <c r="L67" s="261"/>
      <c r="M67" s="472"/>
      <c r="N67" s="473"/>
      <c r="O67" s="275"/>
      <c r="P67" s="277"/>
    </row>
    <row r="68" spans="1:18" x14ac:dyDescent="0.25">
      <c r="A68" s="54"/>
      <c r="B68" s="222"/>
      <c r="C68" s="207"/>
      <c r="D68" s="229"/>
      <c r="E68" s="258"/>
      <c r="F68" s="73">
        <v>44011</v>
      </c>
      <c r="G68" s="77">
        <v>12680</v>
      </c>
      <c r="H68" s="476" t="s">
        <v>36</v>
      </c>
      <c r="I68" s="454" t="s">
        <v>153</v>
      </c>
      <c r="J68" s="454"/>
      <c r="K68" s="428">
        <v>5000</v>
      </c>
      <c r="L68" s="261"/>
      <c r="M68" s="472"/>
      <c r="N68" s="473"/>
      <c r="O68" s="275"/>
      <c r="P68" s="277"/>
    </row>
    <row r="69" spans="1:18" x14ac:dyDescent="0.25">
      <c r="A69" s="54"/>
      <c r="B69" s="222"/>
      <c r="C69" s="207"/>
      <c r="D69" s="229"/>
      <c r="E69" s="258"/>
      <c r="F69" s="73">
        <v>44012</v>
      </c>
      <c r="G69" s="77">
        <v>7150</v>
      </c>
      <c r="H69" s="476" t="s">
        <v>36</v>
      </c>
      <c r="I69" s="454" t="s">
        <v>153</v>
      </c>
      <c r="J69" s="454"/>
      <c r="K69" s="428">
        <v>5000</v>
      </c>
      <c r="L69" s="261"/>
      <c r="M69" s="472"/>
      <c r="N69" s="473"/>
      <c r="O69" s="275"/>
      <c r="P69" s="277"/>
    </row>
    <row r="70" spans="1:18" ht="6" customHeight="1" x14ac:dyDescent="0.25">
      <c r="A70" s="54"/>
      <c r="B70" s="222"/>
      <c r="C70" s="207"/>
      <c r="D70" s="229"/>
      <c r="E70" s="258"/>
      <c r="F70" s="54"/>
      <c r="G70" s="224"/>
      <c r="H70" s="220"/>
      <c r="I70" s="221"/>
      <c r="J70" s="257"/>
      <c r="K70" s="300"/>
      <c r="L70" s="261"/>
      <c r="M70" s="472"/>
      <c r="N70" s="473"/>
      <c r="O70" s="275"/>
      <c r="P70" s="277"/>
    </row>
    <row r="71" spans="1:18" x14ac:dyDescent="0.25">
      <c r="A71" s="73">
        <v>44032</v>
      </c>
      <c r="B71" s="222" t="s">
        <v>353</v>
      </c>
      <c r="C71" s="207">
        <v>2524755</v>
      </c>
      <c r="D71" s="229">
        <v>225000</v>
      </c>
      <c r="E71" s="258"/>
      <c r="F71" s="73">
        <v>44018</v>
      </c>
      <c r="G71" s="72">
        <v>165042</v>
      </c>
      <c r="H71" s="453" t="s">
        <v>36</v>
      </c>
      <c r="I71" s="495" t="s">
        <v>153</v>
      </c>
      <c r="J71" s="222"/>
      <c r="K71" s="428">
        <v>10000</v>
      </c>
      <c r="L71" s="496"/>
      <c r="M71" s="489"/>
      <c r="N71" s="490"/>
      <c r="O71" s="275"/>
      <c r="P71" s="277"/>
    </row>
    <row r="72" spans="1:18" x14ac:dyDescent="0.25">
      <c r="A72" s="73">
        <v>44032</v>
      </c>
      <c r="B72" s="222" t="s">
        <v>354</v>
      </c>
      <c r="C72" s="207">
        <v>254762</v>
      </c>
      <c r="D72" s="229">
        <v>1300000</v>
      </c>
      <c r="E72" s="258"/>
      <c r="F72" s="73">
        <v>44027</v>
      </c>
      <c r="G72" s="497">
        <v>612537</v>
      </c>
      <c r="H72" s="453" t="s">
        <v>36</v>
      </c>
      <c r="I72" s="495" t="s">
        <v>153</v>
      </c>
      <c r="J72" s="222"/>
      <c r="K72" s="428">
        <v>5000</v>
      </c>
      <c r="L72" s="496"/>
      <c r="M72" s="489"/>
      <c r="N72" s="490"/>
      <c r="O72" s="275"/>
      <c r="P72" s="277"/>
    </row>
    <row r="73" spans="1:18" ht="15" customHeight="1" x14ac:dyDescent="0.25">
      <c r="A73" s="73">
        <v>44032</v>
      </c>
      <c r="B73" s="514" t="s">
        <v>384</v>
      </c>
      <c r="C73" s="222">
        <v>2524749</v>
      </c>
      <c r="D73" s="229">
        <v>300000</v>
      </c>
      <c r="E73" s="258"/>
      <c r="F73" s="73">
        <v>44028</v>
      </c>
      <c r="G73" s="497">
        <v>182</v>
      </c>
      <c r="H73" s="453" t="s">
        <v>39</v>
      </c>
      <c r="I73" s="498" t="s">
        <v>158</v>
      </c>
      <c r="J73" s="222"/>
      <c r="K73" s="428">
        <v>18400</v>
      </c>
      <c r="L73" s="496"/>
      <c r="M73" s="489"/>
      <c r="N73" s="490"/>
      <c r="O73" s="275"/>
      <c r="P73" s="277"/>
    </row>
    <row r="74" spans="1:18" x14ac:dyDescent="0.25">
      <c r="A74" s="73"/>
      <c r="B74" s="222"/>
      <c r="C74" s="207"/>
      <c r="D74" s="229"/>
      <c r="E74" s="258"/>
      <c r="F74" s="73">
        <v>44029</v>
      </c>
      <c r="G74" s="497">
        <v>4679</v>
      </c>
      <c r="H74" s="453" t="s">
        <v>36</v>
      </c>
      <c r="I74" s="498" t="s">
        <v>153</v>
      </c>
      <c r="J74" s="222"/>
      <c r="K74" s="428">
        <v>5000</v>
      </c>
      <c r="L74" s="496"/>
      <c r="M74" s="536"/>
      <c r="N74" s="490"/>
      <c r="O74" s="275"/>
      <c r="P74" s="277"/>
    </row>
    <row r="75" spans="1:18" x14ac:dyDescent="0.25">
      <c r="A75" s="73"/>
      <c r="B75" s="222"/>
      <c r="C75" s="207"/>
      <c r="D75" s="229"/>
      <c r="E75" s="258"/>
      <c r="F75" s="73">
        <v>44031</v>
      </c>
      <c r="G75" s="497">
        <v>165789</v>
      </c>
      <c r="H75" s="453" t="s">
        <v>36</v>
      </c>
      <c r="I75" s="498" t="s">
        <v>153</v>
      </c>
      <c r="J75" s="222"/>
      <c r="K75" s="428">
        <v>10000</v>
      </c>
      <c r="L75" s="496"/>
      <c r="M75" s="536"/>
      <c r="N75" s="490"/>
      <c r="O75" s="275"/>
      <c r="P75" s="277"/>
    </row>
    <row r="76" spans="1:18" x14ac:dyDescent="0.25">
      <c r="A76" s="73"/>
      <c r="B76" s="222"/>
      <c r="C76" s="207"/>
      <c r="D76" s="229"/>
      <c r="E76" s="258"/>
      <c r="F76" s="73">
        <v>44032</v>
      </c>
      <c r="G76" s="497">
        <v>329</v>
      </c>
      <c r="H76" s="453" t="s">
        <v>36</v>
      </c>
      <c r="I76" s="498" t="s">
        <v>355</v>
      </c>
      <c r="J76" s="222"/>
      <c r="K76" s="428">
        <v>20000</v>
      </c>
      <c r="L76" s="496"/>
      <c r="M76" s="536"/>
      <c r="N76" s="490"/>
      <c r="O76" s="275"/>
      <c r="P76" s="277"/>
    </row>
    <row r="77" spans="1:18" ht="14.25" customHeight="1" x14ac:dyDescent="0.25">
      <c r="A77" s="73"/>
      <c r="B77" s="222"/>
      <c r="C77" s="207"/>
      <c r="D77" s="229"/>
      <c r="E77" s="258"/>
      <c r="F77" s="73">
        <v>44035</v>
      </c>
      <c r="G77" s="497">
        <v>1852</v>
      </c>
      <c r="H77" s="453" t="s">
        <v>36</v>
      </c>
      <c r="I77" s="498" t="s">
        <v>153</v>
      </c>
      <c r="J77" s="222"/>
      <c r="K77" s="428">
        <v>5000</v>
      </c>
      <c r="L77" s="496"/>
      <c r="M77" s="536"/>
      <c r="N77" s="490"/>
      <c r="O77" s="275"/>
      <c r="P77" s="277"/>
    </row>
    <row r="78" spans="1:18" ht="14.25" customHeight="1" x14ac:dyDescent="0.25">
      <c r="A78" s="253"/>
      <c r="B78" s="257"/>
      <c r="C78" s="253"/>
      <c r="D78" s="258"/>
      <c r="E78" s="258"/>
      <c r="F78" s="73">
        <v>44039</v>
      </c>
      <c r="G78" s="497">
        <v>519260</v>
      </c>
      <c r="H78" s="499" t="s">
        <v>36</v>
      </c>
      <c r="I78" s="498" t="s">
        <v>153</v>
      </c>
      <c r="J78" s="222"/>
      <c r="K78" s="428">
        <v>10000</v>
      </c>
      <c r="L78" s="496"/>
      <c r="M78" s="861"/>
      <c r="N78" s="861"/>
      <c r="O78" s="275"/>
      <c r="P78" s="277"/>
      <c r="Q78" s="427"/>
      <c r="R78" s="427"/>
    </row>
    <row r="79" spans="1:18" ht="6.75" customHeight="1" x14ac:dyDescent="0.25">
      <c r="A79" s="253"/>
      <c r="B79" s="257"/>
      <c r="C79" s="253"/>
      <c r="D79" s="258"/>
      <c r="E79" s="258"/>
      <c r="F79" s="73"/>
      <c r="G79" s="497"/>
      <c r="H79" s="499"/>
      <c r="I79" s="498"/>
      <c r="J79" s="222"/>
      <c r="K79" s="428"/>
      <c r="L79" s="496"/>
      <c r="M79" s="536"/>
      <c r="N79" s="536"/>
      <c r="O79" s="275"/>
      <c r="P79" s="277"/>
      <c r="Q79" s="427"/>
      <c r="R79" s="427"/>
    </row>
    <row r="80" spans="1:18" ht="13.7" customHeight="1" x14ac:dyDescent="0.25">
      <c r="A80" s="571">
        <v>44063</v>
      </c>
      <c r="B80" s="572" t="s">
        <v>400</v>
      </c>
      <c r="C80" s="573"/>
      <c r="D80" s="574">
        <v>75000</v>
      </c>
      <c r="E80" s="574"/>
      <c r="F80" s="73">
        <v>44055</v>
      </c>
      <c r="G80" s="497">
        <v>33</v>
      </c>
      <c r="H80" s="575" t="s">
        <v>28</v>
      </c>
      <c r="I80" s="207" t="s">
        <v>415</v>
      </c>
      <c r="J80" s="222"/>
      <c r="K80" s="428">
        <v>40000</v>
      </c>
      <c r="L80" s="496"/>
      <c r="M80" s="553"/>
      <c r="N80" s="553"/>
      <c r="O80" s="275"/>
      <c r="P80" s="277"/>
      <c r="Q80" s="427"/>
      <c r="R80" s="427"/>
    </row>
    <row r="81" spans="1:19" ht="14.25" customHeight="1" x14ac:dyDescent="0.25">
      <c r="A81" s="507">
        <v>44067</v>
      </c>
      <c r="B81" s="257" t="s">
        <v>412</v>
      </c>
      <c r="C81" s="253"/>
      <c r="D81" s="545">
        <v>1250000</v>
      </c>
      <c r="E81" s="258"/>
      <c r="F81" s="73">
        <v>44056</v>
      </c>
      <c r="G81" s="72">
        <v>309</v>
      </c>
      <c r="H81" s="453" t="s">
        <v>28</v>
      </c>
      <c r="I81" s="552" t="s">
        <v>392</v>
      </c>
      <c r="J81" s="222"/>
      <c r="K81" s="428">
        <v>225000</v>
      </c>
      <c r="L81" s="466"/>
      <c r="M81" s="538"/>
      <c r="N81" s="538"/>
      <c r="O81" s="538"/>
      <c r="P81" s="538"/>
      <c r="Q81" s="538"/>
      <c r="R81" s="427"/>
    </row>
    <row r="82" spans="1:19" ht="14.25" customHeight="1" x14ac:dyDescent="0.25">
      <c r="A82" s="507">
        <v>44067</v>
      </c>
      <c r="B82" s="257" t="s">
        <v>413</v>
      </c>
      <c r="C82" s="264"/>
      <c r="D82" s="546">
        <v>860000</v>
      </c>
      <c r="E82" s="265">
        <f>SUM(E9:E78)</f>
        <v>0</v>
      </c>
      <c r="F82" s="54">
        <v>44056</v>
      </c>
      <c r="G82" s="539"/>
      <c r="H82" s="453" t="s">
        <v>28</v>
      </c>
      <c r="I82" s="542" t="s">
        <v>393</v>
      </c>
      <c r="J82" s="222"/>
      <c r="K82" s="214">
        <v>260000</v>
      </c>
      <c r="L82" s="542"/>
      <c r="M82" s="543"/>
      <c r="N82" s="543"/>
      <c r="O82" s="543"/>
      <c r="P82" s="543"/>
      <c r="Q82" s="543"/>
      <c r="R82" s="427"/>
    </row>
    <row r="83" spans="1:19" x14ac:dyDescent="0.25">
      <c r="A83" s="253"/>
      <c r="B83" s="252"/>
      <c r="C83" s="264"/>
      <c r="D83" s="265"/>
      <c r="E83" s="265"/>
      <c r="F83" s="54">
        <v>44056</v>
      </c>
      <c r="G83" s="539">
        <v>65</v>
      </c>
      <c r="H83" s="453" t="s">
        <v>28</v>
      </c>
      <c r="I83" s="542" t="s">
        <v>394</v>
      </c>
      <c r="J83" s="222"/>
      <c r="K83" s="214">
        <v>30000</v>
      </c>
      <c r="L83" s="542"/>
      <c r="M83" s="543"/>
      <c r="N83" s="543"/>
      <c r="O83" s="543"/>
      <c r="P83" s="543"/>
      <c r="Q83" s="543"/>
      <c r="R83" s="427"/>
    </row>
    <row r="84" spans="1:19" x14ac:dyDescent="0.25">
      <c r="A84" s="253"/>
      <c r="B84" s="252"/>
      <c r="C84" s="264"/>
      <c r="D84" s="265"/>
      <c r="E84" s="265">
        <f>SUM(E82)</f>
        <v>0</v>
      </c>
      <c r="F84" s="54">
        <v>44056</v>
      </c>
      <c r="G84" s="539">
        <v>65</v>
      </c>
      <c r="H84" s="453" t="s">
        <v>28</v>
      </c>
      <c r="I84" s="542" t="s">
        <v>395</v>
      </c>
      <c r="J84" s="222"/>
      <c r="K84" s="214">
        <v>30000</v>
      </c>
      <c r="L84" s="542"/>
      <c r="M84" s="543"/>
      <c r="N84" s="543"/>
      <c r="O84" s="543"/>
      <c r="P84" s="543"/>
      <c r="Q84" s="543"/>
      <c r="R84" s="427"/>
    </row>
    <row r="85" spans="1:19" x14ac:dyDescent="0.25">
      <c r="A85" s="222"/>
      <c r="B85" s="222"/>
      <c r="C85" s="222"/>
      <c r="D85" s="222"/>
      <c r="E85" s="222"/>
      <c r="F85" s="54">
        <v>44050</v>
      </c>
      <c r="G85" s="539">
        <v>1069</v>
      </c>
      <c r="H85" s="453" t="s">
        <v>39</v>
      </c>
      <c r="I85" s="542" t="s">
        <v>390</v>
      </c>
      <c r="J85" s="222"/>
      <c r="K85" s="555">
        <v>8000</v>
      </c>
      <c r="L85" s="542"/>
      <c r="M85" s="543"/>
      <c r="N85" s="543"/>
      <c r="O85" s="543"/>
      <c r="P85" s="543"/>
      <c r="Q85" s="543"/>
      <c r="R85" s="427"/>
    </row>
    <row r="86" spans="1:19" x14ac:dyDescent="0.25">
      <c r="A86" s="222"/>
      <c r="B86" s="222"/>
      <c r="C86" s="222"/>
      <c r="D86" s="222"/>
      <c r="E86" s="222"/>
      <c r="F86" s="54">
        <v>44051</v>
      </c>
      <c r="G86" s="77">
        <v>606237</v>
      </c>
      <c r="H86" s="417" t="s">
        <v>36</v>
      </c>
      <c r="I86" s="541" t="s">
        <v>153</v>
      </c>
      <c r="J86" s="222"/>
      <c r="K86" s="214">
        <v>10000</v>
      </c>
      <c r="L86" s="541"/>
      <c r="M86" s="538"/>
      <c r="N86" s="538"/>
      <c r="O86" s="538"/>
      <c r="P86" s="538"/>
      <c r="Q86" s="538"/>
      <c r="R86" s="427"/>
    </row>
    <row r="87" spans="1:19" x14ac:dyDescent="0.25">
      <c r="A87" s="222"/>
      <c r="B87" s="222"/>
      <c r="C87" s="222"/>
      <c r="D87" s="222"/>
      <c r="E87" s="222"/>
      <c r="F87" s="54">
        <v>44053</v>
      </c>
      <c r="G87" s="544">
        <v>519227</v>
      </c>
      <c r="H87" s="453" t="s">
        <v>36</v>
      </c>
      <c r="I87" s="542" t="s">
        <v>153</v>
      </c>
      <c r="J87" s="222"/>
      <c r="K87" s="214">
        <v>10000</v>
      </c>
      <c r="L87" s="542"/>
      <c r="M87" s="543"/>
      <c r="N87" s="543"/>
      <c r="O87" s="543"/>
      <c r="P87" s="543"/>
      <c r="Q87" s="543"/>
      <c r="R87" s="427"/>
    </row>
    <row r="88" spans="1:19" x14ac:dyDescent="0.25">
      <c r="A88" s="222"/>
      <c r="B88" s="222"/>
      <c r="C88" s="222"/>
      <c r="D88" s="222"/>
      <c r="E88" s="222"/>
      <c r="F88" s="54">
        <v>44068</v>
      </c>
      <c r="G88" s="539">
        <v>199</v>
      </c>
      <c r="H88" s="453" t="s">
        <v>39</v>
      </c>
      <c r="I88" s="541" t="s">
        <v>397</v>
      </c>
      <c r="J88" s="222"/>
      <c r="K88" s="214">
        <v>17500</v>
      </c>
      <c r="L88" s="541"/>
      <c r="M88" s="538"/>
      <c r="N88" s="538"/>
      <c r="O88" s="538"/>
      <c r="P88" s="538"/>
      <c r="Q88" s="538"/>
      <c r="R88" s="427"/>
    </row>
    <row r="89" spans="1:19" x14ac:dyDescent="0.25">
      <c r="A89" s="222"/>
      <c r="B89" s="222"/>
      <c r="C89" s="222"/>
      <c r="D89" s="222"/>
      <c r="E89" s="222"/>
      <c r="F89" s="54">
        <v>44069</v>
      </c>
      <c r="G89" s="539">
        <v>3000</v>
      </c>
      <c r="H89" s="453" t="s">
        <v>36</v>
      </c>
      <c r="I89" s="541" t="s">
        <v>153</v>
      </c>
      <c r="J89" s="222"/>
      <c r="K89" s="214">
        <v>5000</v>
      </c>
      <c r="L89" s="541"/>
      <c r="M89" s="538"/>
      <c r="N89" s="538"/>
      <c r="O89" s="538"/>
      <c r="P89" s="538"/>
      <c r="Q89" s="538"/>
      <c r="R89" s="427"/>
    </row>
    <row r="90" spans="1:19" x14ac:dyDescent="0.25">
      <c r="A90" s="222"/>
      <c r="B90" s="222"/>
      <c r="C90" s="222"/>
      <c r="D90" s="222"/>
      <c r="E90" s="222"/>
      <c r="F90" s="54">
        <v>44074</v>
      </c>
      <c r="G90" s="539">
        <v>13</v>
      </c>
      <c r="H90" s="453" t="s">
        <v>39</v>
      </c>
      <c r="I90" s="541" t="s">
        <v>158</v>
      </c>
      <c r="J90" s="222"/>
      <c r="K90" s="214">
        <v>8900</v>
      </c>
      <c r="L90" s="541"/>
      <c r="M90" s="538"/>
      <c r="N90" s="538"/>
      <c r="O90" s="538"/>
      <c r="P90" s="538"/>
      <c r="Q90" s="538"/>
      <c r="R90" s="427"/>
    </row>
    <row r="91" spans="1:19" x14ac:dyDescent="0.25">
      <c r="A91" s="222"/>
      <c r="B91" s="222"/>
      <c r="C91" s="222"/>
      <c r="D91" s="222"/>
      <c r="E91" s="222"/>
      <c r="F91" s="54">
        <v>44052</v>
      </c>
      <c r="G91" s="539">
        <v>102</v>
      </c>
      <c r="H91" s="453" t="s">
        <v>36</v>
      </c>
      <c r="I91" s="552" t="s">
        <v>398</v>
      </c>
      <c r="J91" s="222"/>
      <c r="K91" s="214">
        <v>30000</v>
      </c>
      <c r="L91" s="552"/>
      <c r="M91" s="538"/>
      <c r="N91" s="538"/>
      <c r="O91" s="538"/>
      <c r="P91" s="538"/>
      <c r="Q91" s="538"/>
      <c r="R91" s="427"/>
    </row>
    <row r="92" spans="1:19" ht="8.1" customHeight="1" x14ac:dyDescent="0.25">
      <c r="A92" s="222"/>
      <c r="B92" s="222"/>
      <c r="C92" s="222"/>
      <c r="D92" s="222"/>
      <c r="E92" s="222"/>
      <c r="F92" s="54"/>
      <c r="G92" s="539"/>
      <c r="H92" s="453"/>
      <c r="I92" s="552"/>
      <c r="J92" s="222"/>
      <c r="K92" s="214"/>
      <c r="L92" s="552"/>
      <c r="M92" s="538"/>
      <c r="N92" s="538"/>
      <c r="O92" s="538"/>
      <c r="P92" s="538"/>
      <c r="Q92" s="538"/>
      <c r="R92" s="427"/>
    </row>
    <row r="93" spans="1:19" x14ac:dyDescent="0.25">
      <c r="A93" s="465">
        <v>44088</v>
      </c>
      <c r="B93" s="222" t="s">
        <v>453</v>
      </c>
      <c r="C93" s="222"/>
      <c r="D93" s="229">
        <v>1675000</v>
      </c>
      <c r="E93" s="222"/>
      <c r="F93" s="589">
        <v>44075</v>
      </c>
      <c r="G93" s="72">
        <v>74</v>
      </c>
      <c r="H93" s="453" t="s">
        <v>78</v>
      </c>
      <c r="I93" s="552" t="s">
        <v>419</v>
      </c>
      <c r="J93" s="222"/>
      <c r="K93" s="428">
        <v>20000</v>
      </c>
      <c r="L93" s="552"/>
      <c r="M93" s="538"/>
      <c r="N93" s="538"/>
      <c r="O93" s="538"/>
      <c r="P93" s="538"/>
      <c r="Q93" s="538"/>
      <c r="R93" s="427"/>
      <c r="S93" s="427"/>
    </row>
    <row r="94" spans="1:19" x14ac:dyDescent="0.25">
      <c r="A94" s="465">
        <v>44095</v>
      </c>
      <c r="B94" s="222" t="s">
        <v>454</v>
      </c>
      <c r="C94" s="222"/>
      <c r="D94" s="229">
        <v>252555</v>
      </c>
      <c r="E94" s="222"/>
      <c r="F94" s="584">
        <v>44078</v>
      </c>
      <c r="G94" s="539">
        <v>829</v>
      </c>
      <c r="H94" s="453" t="s">
        <v>78</v>
      </c>
      <c r="I94" s="579" t="s">
        <v>420</v>
      </c>
      <c r="J94" s="222"/>
      <c r="K94" s="214">
        <v>109000</v>
      </c>
      <c r="L94" s="577"/>
      <c r="M94" s="586"/>
      <c r="N94" s="586"/>
      <c r="O94" s="586"/>
      <c r="P94" s="586"/>
      <c r="Q94" s="586"/>
      <c r="R94" s="427"/>
      <c r="S94" s="427"/>
    </row>
    <row r="95" spans="1:19" x14ac:dyDescent="0.25">
      <c r="A95" s="608">
        <v>44097</v>
      </c>
      <c r="B95" s="609" t="s">
        <v>408</v>
      </c>
      <c r="C95" s="222"/>
      <c r="D95" s="612">
        <v>1000000</v>
      </c>
      <c r="E95" s="222"/>
      <c r="F95" s="584">
        <v>44088</v>
      </c>
      <c r="G95" s="539">
        <v>20</v>
      </c>
      <c r="H95" s="453" t="s">
        <v>25</v>
      </c>
      <c r="I95" s="579" t="s">
        <v>429</v>
      </c>
      <c r="J95" s="222"/>
      <c r="K95" s="214">
        <v>27333</v>
      </c>
      <c r="L95" s="577"/>
      <c r="M95" s="586"/>
      <c r="N95" s="586"/>
      <c r="O95" s="586"/>
      <c r="P95" s="586"/>
      <c r="Q95" s="586"/>
      <c r="R95" s="427"/>
      <c r="S95" s="427"/>
    </row>
    <row r="96" spans="1:19" x14ac:dyDescent="0.25">
      <c r="A96" s="222"/>
      <c r="B96" s="222"/>
      <c r="C96" s="222"/>
      <c r="D96" s="547"/>
      <c r="E96" s="222"/>
      <c r="F96" s="584">
        <v>44089</v>
      </c>
      <c r="G96" s="539">
        <v>14</v>
      </c>
      <c r="H96" s="453" t="s">
        <v>25</v>
      </c>
      <c r="I96" s="579" t="s">
        <v>430</v>
      </c>
      <c r="J96" s="222"/>
      <c r="K96" s="214">
        <v>20000</v>
      </c>
      <c r="L96" s="577"/>
      <c r="M96" s="586"/>
      <c r="N96" s="586"/>
      <c r="O96" s="586"/>
      <c r="P96" s="586"/>
      <c r="Q96" s="586"/>
      <c r="R96" s="427"/>
      <c r="S96" s="427"/>
    </row>
    <row r="97" spans="1:19" x14ac:dyDescent="0.25">
      <c r="A97" s="222"/>
      <c r="B97" s="222"/>
      <c r="C97" s="222"/>
      <c r="D97" s="222"/>
      <c r="E97" s="222"/>
      <c r="F97" s="584">
        <v>44091</v>
      </c>
      <c r="G97" s="539">
        <v>13</v>
      </c>
      <c r="H97" s="453" t="s">
        <v>25</v>
      </c>
      <c r="I97" s="579" t="s">
        <v>431</v>
      </c>
      <c r="J97" s="222"/>
      <c r="K97" s="214">
        <v>150000</v>
      </c>
      <c r="L97" s="577"/>
      <c r="M97" s="586"/>
      <c r="N97" s="586"/>
      <c r="O97" s="586"/>
      <c r="P97" s="586"/>
      <c r="Q97" s="586"/>
      <c r="R97" s="427"/>
      <c r="S97" s="427"/>
    </row>
    <row r="98" spans="1:19" x14ac:dyDescent="0.25">
      <c r="A98" s="222"/>
      <c r="B98" s="222"/>
      <c r="C98" s="222"/>
      <c r="D98" s="222"/>
      <c r="E98" s="222"/>
      <c r="F98" s="584">
        <v>44091</v>
      </c>
      <c r="G98" s="539">
        <v>14</v>
      </c>
      <c r="H98" s="453" t="s">
        <v>25</v>
      </c>
      <c r="I98" s="590" t="s">
        <v>432</v>
      </c>
      <c r="J98" s="222"/>
      <c r="K98" s="214">
        <v>150000</v>
      </c>
      <c r="L98" s="578"/>
      <c r="M98" s="587"/>
      <c r="N98" s="587"/>
      <c r="O98" s="587"/>
      <c r="P98" s="587"/>
      <c r="Q98" s="587"/>
      <c r="R98" s="427"/>
      <c r="S98" s="427"/>
    </row>
    <row r="99" spans="1:19" x14ac:dyDescent="0.25">
      <c r="A99" s="222"/>
      <c r="B99" s="222"/>
      <c r="C99" s="222"/>
      <c r="D99" s="222"/>
      <c r="E99" s="222"/>
      <c r="F99" s="584">
        <v>44091</v>
      </c>
      <c r="G99" s="539">
        <v>20</v>
      </c>
      <c r="H99" s="453" t="s">
        <v>25</v>
      </c>
      <c r="I99" s="590" t="s">
        <v>433</v>
      </c>
      <c r="J99" s="222"/>
      <c r="K99" s="214">
        <v>675000</v>
      </c>
      <c r="L99" s="578"/>
      <c r="M99" s="587"/>
      <c r="N99" s="587"/>
      <c r="O99" s="587"/>
      <c r="P99" s="587"/>
      <c r="Q99" s="587"/>
      <c r="R99" s="427"/>
      <c r="S99" s="427"/>
    </row>
    <row r="100" spans="1:19" x14ac:dyDescent="0.25">
      <c r="A100" s="222"/>
      <c r="B100" s="222"/>
      <c r="C100" s="222"/>
      <c r="D100" s="222"/>
      <c r="E100" s="222"/>
      <c r="F100" s="584">
        <v>44091</v>
      </c>
      <c r="G100" s="539">
        <v>23</v>
      </c>
      <c r="H100" s="499" t="s">
        <v>25</v>
      </c>
      <c r="I100" s="579" t="s">
        <v>394</v>
      </c>
      <c r="J100" s="222"/>
      <c r="K100" s="214">
        <v>30000</v>
      </c>
      <c r="L100" s="577"/>
      <c r="M100" s="586"/>
      <c r="N100" s="586"/>
      <c r="O100" s="586"/>
      <c r="P100" s="586"/>
      <c r="Q100" s="586"/>
      <c r="R100" s="427"/>
      <c r="S100" s="427"/>
    </row>
    <row r="101" spans="1:19" x14ac:dyDescent="0.25">
      <c r="A101" s="222"/>
      <c r="B101" s="222"/>
      <c r="C101" s="222"/>
      <c r="D101" s="222"/>
      <c r="E101" s="222"/>
      <c r="F101" s="584">
        <v>44091</v>
      </c>
      <c r="G101" s="544"/>
      <c r="H101" s="453" t="s">
        <v>25</v>
      </c>
      <c r="I101" s="579" t="s">
        <v>434</v>
      </c>
      <c r="J101" s="222"/>
      <c r="K101" s="214">
        <v>570000</v>
      </c>
      <c r="L101" s="577"/>
      <c r="M101" s="586"/>
      <c r="N101" s="586"/>
      <c r="O101" s="586"/>
      <c r="P101" s="586"/>
      <c r="Q101" s="586"/>
      <c r="R101" s="427"/>
      <c r="S101" s="427"/>
    </row>
    <row r="102" spans="1:19" x14ac:dyDescent="0.25">
      <c r="A102" s="222"/>
      <c r="B102" s="222"/>
      <c r="C102" s="222"/>
      <c r="D102" s="222"/>
      <c r="E102" s="222"/>
      <c r="F102" s="584">
        <v>44100</v>
      </c>
      <c r="G102" s="544">
        <v>359</v>
      </c>
      <c r="H102" s="453" t="s">
        <v>78</v>
      </c>
      <c r="I102" s="579" t="s">
        <v>420</v>
      </c>
      <c r="J102" s="222"/>
      <c r="K102" s="214">
        <v>75000</v>
      </c>
      <c r="L102" s="577"/>
      <c r="M102" s="586"/>
      <c r="N102" s="586"/>
      <c r="O102" s="586"/>
      <c r="P102" s="586"/>
      <c r="Q102" s="586"/>
      <c r="R102" s="427"/>
      <c r="S102" s="427"/>
    </row>
    <row r="103" spans="1:19" x14ac:dyDescent="0.25">
      <c r="A103" s="222"/>
      <c r="B103" s="222"/>
      <c r="C103" s="222"/>
      <c r="D103" s="222"/>
      <c r="E103" s="222"/>
      <c r="F103" s="73">
        <v>44079</v>
      </c>
      <c r="G103" s="72">
        <v>2</v>
      </c>
      <c r="H103" s="453" t="s">
        <v>30</v>
      </c>
      <c r="I103" s="552" t="s">
        <v>422</v>
      </c>
      <c r="J103" s="222"/>
      <c r="K103" s="428">
        <v>15000</v>
      </c>
      <c r="L103" s="552"/>
      <c r="M103" s="538"/>
      <c r="N103" s="538"/>
      <c r="O103" s="538"/>
      <c r="P103" s="538"/>
      <c r="Q103" s="538"/>
      <c r="R103" s="427"/>
      <c r="S103" s="427"/>
    </row>
    <row r="104" spans="1:19" x14ac:dyDescent="0.25">
      <c r="A104" s="222"/>
      <c r="B104" s="222"/>
      <c r="C104" s="222"/>
      <c r="D104" s="222"/>
      <c r="E104" s="222"/>
      <c r="F104" s="54">
        <v>44082</v>
      </c>
      <c r="G104" s="539">
        <v>3</v>
      </c>
      <c r="H104" s="453" t="s">
        <v>30</v>
      </c>
      <c r="I104" s="552" t="s">
        <v>424</v>
      </c>
      <c r="J104" s="222"/>
      <c r="K104" s="214">
        <v>15000</v>
      </c>
      <c r="L104" s="552"/>
      <c r="M104" s="538"/>
      <c r="N104" s="538"/>
      <c r="O104" s="538"/>
      <c r="P104" s="538"/>
      <c r="Q104" s="538"/>
      <c r="R104" s="427"/>
      <c r="S104" s="427"/>
    </row>
    <row r="105" spans="1:19" x14ac:dyDescent="0.25">
      <c r="A105" s="222"/>
      <c r="B105" s="222"/>
      <c r="C105" s="222"/>
      <c r="D105" s="222"/>
      <c r="E105" s="222"/>
      <c r="F105" s="54">
        <v>44085</v>
      </c>
      <c r="G105" s="539">
        <v>19</v>
      </c>
      <c r="H105" s="453" t="s">
        <v>30</v>
      </c>
      <c r="I105" s="552" t="s">
        <v>427</v>
      </c>
      <c r="J105" s="222"/>
      <c r="K105" s="214">
        <v>15000</v>
      </c>
      <c r="L105" s="552"/>
      <c r="M105" s="538"/>
      <c r="N105" s="538"/>
      <c r="O105" s="538"/>
      <c r="P105" s="538"/>
      <c r="Q105" s="538"/>
      <c r="R105" s="427"/>
      <c r="S105" s="427"/>
    </row>
    <row r="106" spans="1:19" x14ac:dyDescent="0.25">
      <c r="A106" s="222"/>
      <c r="B106" s="222"/>
      <c r="C106" s="222"/>
      <c r="D106" s="222"/>
      <c r="E106" s="222"/>
      <c r="F106" s="54">
        <v>44094</v>
      </c>
      <c r="G106" s="539">
        <v>20</v>
      </c>
      <c r="H106" s="453" t="s">
        <v>30</v>
      </c>
      <c r="I106" s="579" t="s">
        <v>435</v>
      </c>
      <c r="J106" s="222"/>
      <c r="K106" s="214">
        <v>15000</v>
      </c>
      <c r="L106" s="577"/>
      <c r="M106" s="586"/>
      <c r="N106" s="586"/>
      <c r="O106" s="586"/>
      <c r="P106" s="586"/>
      <c r="Q106" s="586"/>
      <c r="R106" s="427"/>
      <c r="S106" s="427"/>
    </row>
    <row r="107" spans="1:19" x14ac:dyDescent="0.25">
      <c r="A107" s="222"/>
      <c r="B107" s="222"/>
      <c r="C107" s="222"/>
      <c r="D107" s="222"/>
      <c r="E107" s="222"/>
      <c r="F107" s="73">
        <v>44079</v>
      </c>
      <c r="G107" s="72"/>
      <c r="H107" s="453" t="s">
        <v>31</v>
      </c>
      <c r="I107" s="552" t="s">
        <v>421</v>
      </c>
      <c r="J107" s="222"/>
      <c r="K107" s="428">
        <v>15000</v>
      </c>
      <c r="L107" s="495"/>
      <c r="M107" s="588"/>
      <c r="N107" s="588"/>
      <c r="O107" s="588"/>
      <c r="P107" s="588"/>
      <c r="Q107" s="588"/>
      <c r="R107" s="427"/>
      <c r="S107" s="427"/>
    </row>
    <row r="108" spans="1:19" x14ac:dyDescent="0.25">
      <c r="A108" s="222"/>
      <c r="B108" s="222"/>
      <c r="C108" s="222"/>
      <c r="D108" s="222"/>
      <c r="E108" s="222"/>
      <c r="F108" s="54">
        <v>44083</v>
      </c>
      <c r="G108" s="539">
        <v>4</v>
      </c>
      <c r="H108" s="453" t="s">
        <v>31</v>
      </c>
      <c r="I108" s="552" t="s">
        <v>425</v>
      </c>
      <c r="J108" s="222"/>
      <c r="K108" s="214">
        <v>5000</v>
      </c>
      <c r="L108" s="495"/>
      <c r="M108" s="588"/>
      <c r="N108" s="588"/>
      <c r="O108" s="588"/>
      <c r="P108" s="588"/>
      <c r="Q108" s="588"/>
      <c r="R108" s="427"/>
      <c r="S108" s="427"/>
    </row>
    <row r="109" spans="1:19" x14ac:dyDescent="0.25">
      <c r="A109" s="222"/>
      <c r="B109" s="222"/>
      <c r="C109" s="222"/>
      <c r="D109" s="222"/>
      <c r="E109" s="222"/>
      <c r="F109" s="54">
        <v>44096</v>
      </c>
      <c r="G109" s="539">
        <v>54</v>
      </c>
      <c r="H109" s="453" t="s">
        <v>31</v>
      </c>
      <c r="I109" s="552" t="s">
        <v>436</v>
      </c>
      <c r="J109" s="222"/>
      <c r="K109" s="214">
        <v>180000</v>
      </c>
      <c r="L109" s="495"/>
      <c r="M109" s="588"/>
      <c r="N109" s="588"/>
      <c r="O109" s="588"/>
      <c r="P109" s="588"/>
      <c r="Q109" s="588"/>
      <c r="R109" s="427"/>
      <c r="S109" s="427"/>
    </row>
    <row r="110" spans="1:19" x14ac:dyDescent="0.25">
      <c r="A110" s="222"/>
      <c r="B110" s="222"/>
      <c r="C110" s="222"/>
      <c r="D110" s="222"/>
      <c r="E110" s="222"/>
      <c r="F110" s="54">
        <v>44096</v>
      </c>
      <c r="G110" s="539"/>
      <c r="H110" s="453" t="s">
        <v>31</v>
      </c>
      <c r="I110" s="552" t="s">
        <v>437</v>
      </c>
      <c r="J110" s="222"/>
      <c r="K110" s="214">
        <v>200000</v>
      </c>
      <c r="L110" s="495"/>
      <c r="M110" s="588"/>
      <c r="N110" s="588"/>
      <c r="O110" s="588"/>
      <c r="P110" s="588"/>
      <c r="Q110" s="588"/>
      <c r="R110" s="427"/>
      <c r="S110" s="427"/>
    </row>
    <row r="111" spans="1:19" x14ac:dyDescent="0.25">
      <c r="A111" s="222"/>
      <c r="B111" s="222"/>
      <c r="C111" s="222"/>
      <c r="D111" s="222"/>
      <c r="E111" s="222"/>
      <c r="F111" s="54">
        <v>44096</v>
      </c>
      <c r="G111" s="539">
        <v>17</v>
      </c>
      <c r="H111" s="453" t="s">
        <v>31</v>
      </c>
      <c r="I111" s="552" t="s">
        <v>438</v>
      </c>
      <c r="J111" s="222"/>
      <c r="K111" s="214">
        <v>50000</v>
      </c>
      <c r="L111" s="495"/>
      <c r="M111" s="588"/>
      <c r="N111" s="588"/>
      <c r="O111" s="588"/>
      <c r="P111" s="588"/>
      <c r="Q111" s="588"/>
      <c r="R111" s="427"/>
      <c r="S111" s="427"/>
    </row>
    <row r="112" spans="1:19" x14ac:dyDescent="0.25">
      <c r="A112" s="222"/>
      <c r="B112" s="222"/>
      <c r="C112" s="222"/>
      <c r="D112" s="222"/>
      <c r="E112" s="222"/>
      <c r="F112" s="54">
        <v>44075</v>
      </c>
      <c r="G112" s="539">
        <v>3001</v>
      </c>
      <c r="H112" s="552" t="s">
        <v>36</v>
      </c>
      <c r="I112" s="579" t="s">
        <v>153</v>
      </c>
      <c r="J112" s="222"/>
      <c r="K112" s="214">
        <v>5000</v>
      </c>
      <c r="L112" s="579"/>
      <c r="M112" s="543"/>
      <c r="N112" s="543"/>
      <c r="O112" s="543"/>
      <c r="P112" s="543"/>
      <c r="Q112" s="543"/>
      <c r="R112" s="427"/>
      <c r="S112" s="427"/>
    </row>
    <row r="113" spans="1:19" x14ac:dyDescent="0.25">
      <c r="A113" s="222"/>
      <c r="B113" s="222"/>
      <c r="C113" s="222"/>
      <c r="D113" s="222"/>
      <c r="E113" s="222"/>
      <c r="F113" s="54">
        <v>44080</v>
      </c>
      <c r="G113" s="539">
        <v>3120</v>
      </c>
      <c r="H113" s="552" t="s">
        <v>36</v>
      </c>
      <c r="I113" s="579" t="s">
        <v>423</v>
      </c>
      <c r="J113" s="222"/>
      <c r="K113" s="214">
        <v>3000</v>
      </c>
      <c r="L113" s="579"/>
      <c r="M113" s="543"/>
      <c r="N113" s="543"/>
      <c r="O113" s="543"/>
      <c r="P113" s="543"/>
      <c r="Q113" s="543"/>
      <c r="R113" s="427"/>
      <c r="S113" s="427"/>
    </row>
    <row r="114" spans="1:19" x14ac:dyDescent="0.25">
      <c r="A114" s="222"/>
      <c r="B114" s="222"/>
      <c r="C114" s="222"/>
      <c r="D114" s="222"/>
      <c r="E114" s="222"/>
      <c r="F114" s="54">
        <v>44081</v>
      </c>
      <c r="G114" s="539">
        <v>618956</v>
      </c>
      <c r="H114" s="552" t="s">
        <v>36</v>
      </c>
      <c r="I114" s="579" t="s">
        <v>153</v>
      </c>
      <c r="J114" s="222"/>
      <c r="K114" s="214">
        <v>5000</v>
      </c>
      <c r="L114" s="579"/>
      <c r="M114" s="543"/>
      <c r="N114" s="543"/>
      <c r="O114" s="543"/>
      <c r="P114" s="543"/>
      <c r="Q114" s="543"/>
      <c r="R114" s="427"/>
      <c r="S114" s="427"/>
    </row>
    <row r="115" spans="1:19" x14ac:dyDescent="0.25">
      <c r="A115" s="222"/>
      <c r="B115" s="222"/>
      <c r="C115" s="222"/>
      <c r="D115" s="222"/>
      <c r="E115" s="222"/>
      <c r="F115" s="54">
        <v>44084</v>
      </c>
      <c r="G115" s="539">
        <v>94826</v>
      </c>
      <c r="H115" s="552" t="s">
        <v>36</v>
      </c>
      <c r="I115" s="579" t="s">
        <v>153</v>
      </c>
      <c r="J115" s="222"/>
      <c r="K115" s="214">
        <v>5000</v>
      </c>
      <c r="L115" s="579"/>
      <c r="M115" s="543"/>
      <c r="N115" s="543"/>
      <c r="O115" s="543"/>
      <c r="P115" s="543"/>
      <c r="Q115" s="543"/>
      <c r="R115" s="427"/>
      <c r="S115" s="427"/>
    </row>
    <row r="116" spans="1:19" x14ac:dyDescent="0.25">
      <c r="A116" s="222"/>
      <c r="B116" s="222"/>
      <c r="C116" s="222"/>
      <c r="D116" s="222"/>
      <c r="E116" s="222"/>
      <c r="F116" s="54">
        <v>44084</v>
      </c>
      <c r="G116" s="539">
        <v>9</v>
      </c>
      <c r="H116" s="552" t="s">
        <v>36</v>
      </c>
      <c r="I116" s="579" t="s">
        <v>426</v>
      </c>
      <c r="J116" s="222"/>
      <c r="K116" s="214">
        <v>5000</v>
      </c>
      <c r="L116" s="579"/>
      <c r="M116" s="543"/>
      <c r="N116" s="543"/>
      <c r="O116" s="543"/>
      <c r="P116" s="543"/>
      <c r="Q116" s="543"/>
      <c r="R116" s="427"/>
      <c r="S116" s="427"/>
    </row>
    <row r="117" spans="1:19" x14ac:dyDescent="0.25">
      <c r="A117" s="222"/>
      <c r="B117" s="222"/>
      <c r="C117" s="222"/>
      <c r="D117" s="222"/>
      <c r="E117" s="222"/>
      <c r="F117" s="54">
        <v>44084</v>
      </c>
      <c r="G117" s="539">
        <v>11</v>
      </c>
      <c r="H117" s="552" t="s">
        <v>36</v>
      </c>
      <c r="I117" s="579" t="s">
        <v>428</v>
      </c>
      <c r="J117" s="222"/>
      <c r="K117" s="214">
        <v>5000</v>
      </c>
      <c r="L117" s="579"/>
      <c r="M117" s="543"/>
      <c r="N117" s="543"/>
      <c r="O117" s="543"/>
      <c r="P117" s="543"/>
      <c r="Q117" s="543"/>
      <c r="R117" s="427"/>
      <c r="S117" s="427"/>
    </row>
    <row r="118" spans="1:19" x14ac:dyDescent="0.25">
      <c r="A118" s="222"/>
      <c r="B118" s="222"/>
      <c r="C118" s="222"/>
      <c r="D118" s="222"/>
      <c r="E118" s="222"/>
      <c r="F118" s="54">
        <v>44088</v>
      </c>
      <c r="G118" s="539">
        <v>106433</v>
      </c>
      <c r="H118" s="552" t="s">
        <v>36</v>
      </c>
      <c r="I118" s="579" t="s">
        <v>153</v>
      </c>
      <c r="J118" s="222"/>
      <c r="K118" s="214">
        <v>10000</v>
      </c>
      <c r="L118" s="579"/>
      <c r="M118" s="543"/>
      <c r="N118" s="543"/>
      <c r="O118" s="543"/>
      <c r="P118" s="543"/>
      <c r="Q118" s="543"/>
      <c r="R118" s="427"/>
      <c r="S118" s="427"/>
    </row>
    <row r="119" spans="1:19" x14ac:dyDescent="0.25">
      <c r="A119" s="222"/>
      <c r="B119" s="222"/>
      <c r="C119" s="222"/>
      <c r="D119" s="222"/>
      <c r="E119" s="222"/>
      <c r="F119" s="54">
        <v>44090</v>
      </c>
      <c r="G119" s="539">
        <v>786608</v>
      </c>
      <c r="H119" s="552" t="s">
        <v>36</v>
      </c>
      <c r="I119" s="579" t="s">
        <v>153</v>
      </c>
      <c r="J119" s="222"/>
      <c r="K119" s="214">
        <v>10000</v>
      </c>
      <c r="L119" s="579"/>
      <c r="M119" s="543"/>
      <c r="N119" s="543"/>
      <c r="O119" s="543"/>
      <c r="P119" s="543"/>
      <c r="Q119" s="543"/>
      <c r="R119" s="427"/>
      <c r="S119" s="427"/>
    </row>
    <row r="120" spans="1:19" x14ac:dyDescent="0.25">
      <c r="A120" s="222"/>
      <c r="B120" s="222"/>
      <c r="C120" s="222"/>
      <c r="D120" s="222"/>
      <c r="E120" s="222"/>
      <c r="F120" s="54">
        <v>44096</v>
      </c>
      <c r="G120" s="539">
        <v>618128</v>
      </c>
      <c r="H120" s="552" t="s">
        <v>36</v>
      </c>
      <c r="I120" s="579" t="s">
        <v>153</v>
      </c>
      <c r="J120" s="222"/>
      <c r="K120" s="214">
        <v>5000</v>
      </c>
      <c r="L120" s="579"/>
      <c r="M120" s="543"/>
      <c r="N120" s="543"/>
      <c r="O120" s="543"/>
      <c r="P120" s="543"/>
      <c r="Q120" s="543"/>
      <c r="R120" s="427"/>
      <c r="S120" s="427"/>
    </row>
    <row r="121" spans="1:19" x14ac:dyDescent="0.25">
      <c r="A121" s="222"/>
      <c r="B121" s="222"/>
      <c r="C121" s="222"/>
      <c r="D121" s="222"/>
      <c r="E121" s="222"/>
      <c r="F121" s="54">
        <v>44102</v>
      </c>
      <c r="G121" s="539">
        <v>61321</v>
      </c>
      <c r="H121" s="552" t="s">
        <v>358</v>
      </c>
      <c r="I121" s="592" t="s">
        <v>153</v>
      </c>
      <c r="J121" s="222"/>
      <c r="K121" s="214">
        <v>5000</v>
      </c>
      <c r="L121" s="627"/>
      <c r="M121" s="543"/>
      <c r="N121" s="543"/>
      <c r="O121" s="543"/>
      <c r="P121" s="543"/>
      <c r="Q121" s="543"/>
      <c r="R121" s="427"/>
      <c r="S121" s="427"/>
    </row>
    <row r="122" spans="1:19" x14ac:dyDescent="0.25">
      <c r="A122" s="222"/>
      <c r="B122" s="222"/>
      <c r="C122" s="222"/>
      <c r="D122" s="222"/>
      <c r="E122" s="222"/>
      <c r="F122" s="632">
        <v>44104</v>
      </c>
      <c r="G122" s="633">
        <v>100</v>
      </c>
      <c r="H122" s="633" t="s">
        <v>78</v>
      </c>
      <c r="I122" s="633" t="s">
        <v>440</v>
      </c>
      <c r="J122" s="634"/>
      <c r="K122" s="635">
        <v>100000</v>
      </c>
      <c r="L122" s="636"/>
      <c r="M122" s="427"/>
      <c r="N122" s="427"/>
      <c r="O122" s="427"/>
      <c r="P122" s="427"/>
      <c r="Q122" s="427"/>
      <c r="R122" s="427"/>
      <c r="S122" s="427"/>
    </row>
    <row r="123" spans="1:19" ht="8.1" customHeight="1" x14ac:dyDescent="0.25">
      <c r="A123" s="222"/>
      <c r="B123" s="222"/>
      <c r="C123" s="222"/>
      <c r="D123" s="222"/>
      <c r="E123" s="631"/>
      <c r="F123" s="222"/>
      <c r="G123" s="418"/>
      <c r="H123" s="222"/>
      <c r="I123" s="222"/>
      <c r="J123" s="222"/>
      <c r="K123" s="591"/>
      <c r="L123" s="222"/>
      <c r="M123" s="427"/>
      <c r="N123" s="427"/>
      <c r="O123" s="427"/>
      <c r="P123" s="427"/>
      <c r="Q123" s="427"/>
      <c r="R123" s="427"/>
    </row>
    <row r="124" spans="1:19" x14ac:dyDescent="0.25">
      <c r="A124" s="465"/>
      <c r="B124" s="222"/>
      <c r="C124" s="222"/>
      <c r="D124" s="229"/>
      <c r="E124" s="631"/>
      <c r="F124" s="54">
        <v>44105</v>
      </c>
      <c r="G124" s="53">
        <v>2826</v>
      </c>
      <c r="H124" s="453" t="s">
        <v>36</v>
      </c>
      <c r="I124" s="221" t="s">
        <v>522</v>
      </c>
      <c r="J124" s="222"/>
      <c r="K124" s="214">
        <v>5000</v>
      </c>
      <c r="L124" s="642"/>
      <c r="M124" s="630"/>
      <c r="N124" s="630"/>
      <c r="O124" s="630"/>
      <c r="P124" s="630"/>
      <c r="Q124" s="630"/>
      <c r="R124" s="427"/>
    </row>
    <row r="125" spans="1:19" x14ac:dyDescent="0.25">
      <c r="A125" s="465">
        <v>44126</v>
      </c>
      <c r="B125" s="222" t="s">
        <v>581</v>
      </c>
      <c r="C125" s="222">
        <v>2524792</v>
      </c>
      <c r="D125" s="229">
        <v>1320000</v>
      </c>
      <c r="E125" s="631"/>
      <c r="F125" s="54">
        <v>44105</v>
      </c>
      <c r="G125" s="53">
        <v>618220</v>
      </c>
      <c r="H125" s="453" t="s">
        <v>36</v>
      </c>
      <c r="I125" s="221" t="s">
        <v>522</v>
      </c>
      <c r="J125" s="222"/>
      <c r="K125" s="214">
        <v>5000</v>
      </c>
      <c r="L125" s="642"/>
      <c r="M125" s="630"/>
      <c r="N125" s="630"/>
      <c r="O125" s="630"/>
      <c r="P125" s="630"/>
      <c r="Q125" s="630"/>
      <c r="R125" s="427"/>
    </row>
    <row r="126" spans="1:19" x14ac:dyDescent="0.25">
      <c r="A126" s="465">
        <v>44105</v>
      </c>
      <c r="B126" s="222" t="s">
        <v>585</v>
      </c>
      <c r="C126" s="222">
        <v>2524784</v>
      </c>
      <c r="D126" s="229">
        <v>587500</v>
      </c>
      <c r="E126" s="631"/>
      <c r="F126" s="54">
        <v>44106</v>
      </c>
      <c r="G126" s="53">
        <v>31</v>
      </c>
      <c r="H126" s="453" t="s">
        <v>78</v>
      </c>
      <c r="I126" s="221" t="s">
        <v>575</v>
      </c>
      <c r="J126" s="222"/>
      <c r="K126" s="214">
        <v>20000</v>
      </c>
      <c r="L126" s="642"/>
      <c r="M126" s="630"/>
      <c r="N126" s="630"/>
      <c r="O126" s="630"/>
      <c r="P126" s="630"/>
      <c r="Q126" s="630"/>
      <c r="R126" s="427"/>
    </row>
    <row r="127" spans="1:19" x14ac:dyDescent="0.25">
      <c r="A127" s="465">
        <v>44105</v>
      </c>
      <c r="B127" s="222" t="s">
        <v>143</v>
      </c>
      <c r="C127" s="222">
        <v>2524778</v>
      </c>
      <c r="D127" s="229">
        <v>130000</v>
      </c>
      <c r="E127" s="631"/>
      <c r="F127" s="54">
        <v>44106</v>
      </c>
      <c r="G127" s="53">
        <v>306</v>
      </c>
      <c r="H127" s="453" t="s">
        <v>26</v>
      </c>
      <c r="I127" s="221" t="s">
        <v>527</v>
      </c>
      <c r="J127" s="222"/>
      <c r="K127" s="214">
        <v>20000</v>
      </c>
      <c r="L127" s="642"/>
      <c r="M127" s="630"/>
      <c r="N127" s="630"/>
      <c r="O127" s="630"/>
      <c r="P127" s="630"/>
      <c r="Q127" s="630"/>
      <c r="R127" s="427"/>
    </row>
    <row r="128" spans="1:19" x14ac:dyDescent="0.25">
      <c r="A128" s="465">
        <v>44109</v>
      </c>
      <c r="B128" s="222" t="s">
        <v>585</v>
      </c>
      <c r="C128" s="222">
        <v>2524768</v>
      </c>
      <c r="D128" s="625">
        <v>225000</v>
      </c>
      <c r="E128" s="222"/>
      <c r="F128" s="54">
        <v>44106</v>
      </c>
      <c r="G128" s="53">
        <v>307</v>
      </c>
      <c r="H128" s="453" t="s">
        <v>26</v>
      </c>
      <c r="I128" s="221" t="s">
        <v>528</v>
      </c>
      <c r="J128" s="222"/>
      <c r="K128" s="214">
        <v>20000</v>
      </c>
      <c r="L128" s="642"/>
      <c r="M128" s="630"/>
      <c r="N128" s="630"/>
      <c r="O128" s="630"/>
      <c r="P128" s="630"/>
      <c r="Q128" s="630"/>
      <c r="R128" s="427"/>
    </row>
    <row r="129" spans="1:18" x14ac:dyDescent="0.25">
      <c r="A129" s="222"/>
      <c r="B129" s="222"/>
      <c r="C129" s="222"/>
      <c r="D129" s="222"/>
      <c r="E129" s="222"/>
      <c r="F129" s="54">
        <v>44106</v>
      </c>
      <c r="G129" s="53">
        <v>28</v>
      </c>
      <c r="H129" s="453" t="s">
        <v>30</v>
      </c>
      <c r="I129" s="221" t="s">
        <v>525</v>
      </c>
      <c r="J129" s="222"/>
      <c r="K129" s="214">
        <v>15000</v>
      </c>
      <c r="L129" s="642"/>
      <c r="M129" s="630"/>
      <c r="N129" s="630"/>
      <c r="O129" s="630"/>
      <c r="P129" s="630"/>
      <c r="Q129" s="630"/>
      <c r="R129" s="427"/>
    </row>
    <row r="130" spans="1:18" x14ac:dyDescent="0.25">
      <c r="A130" s="222"/>
      <c r="B130" s="222"/>
      <c r="C130" s="222"/>
      <c r="D130" s="222"/>
      <c r="E130" s="222"/>
      <c r="F130" s="54">
        <v>44106</v>
      </c>
      <c r="G130" s="53">
        <v>29</v>
      </c>
      <c r="H130" s="453" t="s">
        <v>30</v>
      </c>
      <c r="I130" s="221" t="s">
        <v>526</v>
      </c>
      <c r="J130" s="222"/>
      <c r="K130" s="214">
        <v>15000</v>
      </c>
      <c r="L130" s="642"/>
      <c r="M130" s="630"/>
      <c r="N130" s="630"/>
      <c r="O130" s="630"/>
      <c r="P130" s="630"/>
      <c r="Q130" s="630"/>
      <c r="R130" s="427"/>
    </row>
    <row r="131" spans="1:18" x14ac:dyDescent="0.25">
      <c r="A131" s="222"/>
      <c r="B131" s="222"/>
      <c r="C131" s="222"/>
      <c r="D131" s="222"/>
      <c r="E131" s="222"/>
      <c r="F131" s="54">
        <v>44106</v>
      </c>
      <c r="G131" s="53">
        <v>27</v>
      </c>
      <c r="H131" s="453" t="s">
        <v>136</v>
      </c>
      <c r="I131" s="454" t="s">
        <v>524</v>
      </c>
      <c r="J131" s="222"/>
      <c r="K131" s="214">
        <v>5000</v>
      </c>
      <c r="L131" s="642"/>
      <c r="M131" s="630"/>
      <c r="N131" s="630"/>
      <c r="O131" s="630"/>
      <c r="P131" s="630"/>
      <c r="Q131" s="630"/>
      <c r="R131" s="427"/>
    </row>
    <row r="132" spans="1:18" x14ac:dyDescent="0.25">
      <c r="A132" s="222"/>
      <c r="B132" s="222"/>
      <c r="C132" s="222"/>
      <c r="D132" s="222"/>
      <c r="E132" s="222"/>
      <c r="F132" s="54">
        <v>44109</v>
      </c>
      <c r="G132" s="53">
        <v>309</v>
      </c>
      <c r="H132" s="453" t="s">
        <v>76</v>
      </c>
      <c r="I132" s="221" t="s">
        <v>529</v>
      </c>
      <c r="J132" s="222"/>
      <c r="K132" s="214">
        <v>75000</v>
      </c>
      <c r="L132" s="642"/>
      <c r="M132" s="630"/>
      <c r="N132" s="630"/>
      <c r="O132" s="630"/>
      <c r="P132" s="630"/>
      <c r="Q132" s="630"/>
      <c r="R132" s="427"/>
    </row>
    <row r="133" spans="1:18" x14ac:dyDescent="0.25">
      <c r="A133" s="222"/>
      <c r="B133" s="222"/>
      <c r="C133" s="222"/>
      <c r="D133" s="222"/>
      <c r="E133" s="222"/>
      <c r="F133" s="54">
        <v>44109</v>
      </c>
      <c r="G133" s="53">
        <v>618996</v>
      </c>
      <c r="H133" s="453" t="s">
        <v>36</v>
      </c>
      <c r="I133" s="221" t="s">
        <v>522</v>
      </c>
      <c r="J133" s="222"/>
      <c r="K133" s="214">
        <v>5000</v>
      </c>
      <c r="L133" s="642"/>
      <c r="M133" s="630"/>
      <c r="N133" s="630"/>
      <c r="O133" s="630"/>
      <c r="P133" s="630"/>
      <c r="Q133" s="630"/>
      <c r="R133" s="427"/>
    </row>
    <row r="134" spans="1:18" x14ac:dyDescent="0.25">
      <c r="A134" s="222"/>
      <c r="B134" s="222"/>
      <c r="C134" s="222"/>
      <c r="D134" s="222"/>
      <c r="E134" s="222"/>
      <c r="F134" s="54">
        <v>44109</v>
      </c>
      <c r="G134" s="53">
        <v>310</v>
      </c>
      <c r="H134" s="453" t="s">
        <v>136</v>
      </c>
      <c r="I134" s="495" t="s">
        <v>588</v>
      </c>
      <c r="J134" s="222"/>
      <c r="K134" s="214">
        <v>15000</v>
      </c>
      <c r="L134" s="495"/>
      <c r="M134" s="630"/>
      <c r="N134" s="630"/>
      <c r="O134" s="630"/>
      <c r="P134" s="630"/>
      <c r="Q134" s="630"/>
      <c r="R134" s="427"/>
    </row>
    <row r="135" spans="1:18" x14ac:dyDescent="0.25">
      <c r="A135" s="222"/>
      <c r="B135" s="222"/>
      <c r="C135" s="222"/>
      <c r="D135" s="222"/>
      <c r="E135" s="222"/>
      <c r="F135" s="54">
        <v>44109</v>
      </c>
      <c r="G135" s="53">
        <v>326</v>
      </c>
      <c r="H135" s="453" t="s">
        <v>136</v>
      </c>
      <c r="I135" s="495" t="s">
        <v>597</v>
      </c>
      <c r="J135" s="222"/>
      <c r="K135" s="214">
        <v>15000</v>
      </c>
      <c r="L135" s="495"/>
      <c r="M135" s="630"/>
      <c r="N135" s="630"/>
      <c r="O135" s="630"/>
      <c r="P135" s="630"/>
      <c r="Q135" s="630"/>
      <c r="R135" s="427"/>
    </row>
    <row r="136" spans="1:18" x14ac:dyDescent="0.25">
      <c r="A136" s="222"/>
      <c r="B136" s="222"/>
      <c r="C136" s="222"/>
      <c r="D136" s="222"/>
      <c r="E136" s="222"/>
      <c r="F136" s="54">
        <v>44110</v>
      </c>
      <c r="G136" s="53">
        <v>25</v>
      </c>
      <c r="H136" s="453" t="s">
        <v>36</v>
      </c>
      <c r="I136" s="221" t="s">
        <v>530</v>
      </c>
      <c r="J136" s="222"/>
      <c r="K136" s="214">
        <v>39200</v>
      </c>
      <c r="L136" s="642"/>
      <c r="M136" s="630"/>
      <c r="N136" s="630"/>
      <c r="O136" s="630"/>
      <c r="P136" s="630"/>
      <c r="Q136" s="630"/>
      <c r="R136" s="427"/>
    </row>
    <row r="137" spans="1:18" x14ac:dyDescent="0.25">
      <c r="A137" s="222"/>
      <c r="B137" s="222"/>
      <c r="C137" s="222"/>
      <c r="D137" s="222"/>
      <c r="E137" s="222"/>
      <c r="F137" s="54">
        <v>44111</v>
      </c>
      <c r="G137" s="53">
        <v>313</v>
      </c>
      <c r="H137" s="453" t="s">
        <v>26</v>
      </c>
      <c r="I137" s="221" t="s">
        <v>533</v>
      </c>
      <c r="J137" s="222"/>
      <c r="K137" s="214">
        <v>20000</v>
      </c>
      <c r="L137" s="642"/>
      <c r="M137" s="630"/>
      <c r="N137" s="630"/>
      <c r="O137" s="630"/>
      <c r="P137" s="630"/>
      <c r="Q137" s="630"/>
      <c r="R137" s="427"/>
    </row>
    <row r="138" spans="1:18" x14ac:dyDescent="0.25">
      <c r="A138" s="222"/>
      <c r="B138" s="222"/>
      <c r="C138" s="222"/>
      <c r="D138" s="222"/>
      <c r="E138" s="222"/>
      <c r="F138" s="54">
        <v>44111</v>
      </c>
      <c r="G138" s="53">
        <v>314</v>
      </c>
      <c r="H138" s="453" t="s">
        <v>26</v>
      </c>
      <c r="I138" s="221" t="s">
        <v>534</v>
      </c>
      <c r="J138" s="222"/>
      <c r="K138" s="214">
        <v>20000</v>
      </c>
      <c r="L138" s="642"/>
      <c r="M138" s="630"/>
      <c r="N138" s="630"/>
      <c r="O138" s="630"/>
      <c r="P138" s="630"/>
      <c r="Q138" s="630"/>
      <c r="R138" s="427"/>
    </row>
    <row r="139" spans="1:18" x14ac:dyDescent="0.25">
      <c r="A139" s="222"/>
      <c r="B139" s="222"/>
      <c r="C139" s="222"/>
      <c r="D139" s="222"/>
      <c r="E139" s="222"/>
      <c r="F139" s="54">
        <v>44111</v>
      </c>
      <c r="G139" s="53">
        <v>35</v>
      </c>
      <c r="H139" s="453" t="s">
        <v>30</v>
      </c>
      <c r="I139" s="221" t="s">
        <v>531</v>
      </c>
      <c r="J139" s="222"/>
      <c r="K139" s="214">
        <v>15000</v>
      </c>
      <c r="L139" s="642"/>
      <c r="M139" s="630"/>
      <c r="N139" s="630"/>
      <c r="O139" s="630"/>
      <c r="P139" s="630"/>
      <c r="Q139" s="630"/>
      <c r="R139" s="427"/>
    </row>
    <row r="140" spans="1:18" x14ac:dyDescent="0.25">
      <c r="A140" s="222"/>
      <c r="B140" s="222"/>
      <c r="C140" s="222"/>
      <c r="D140" s="222"/>
      <c r="E140" s="222"/>
      <c r="F140" s="54">
        <v>44111</v>
      </c>
      <c r="G140" s="53">
        <v>126848</v>
      </c>
      <c r="H140" s="453" t="s">
        <v>136</v>
      </c>
      <c r="I140" s="454" t="s">
        <v>532</v>
      </c>
      <c r="J140" s="222"/>
      <c r="K140" s="214">
        <v>5000</v>
      </c>
      <c r="L140" s="642"/>
      <c r="M140" s="630"/>
      <c r="N140" s="630"/>
      <c r="O140" s="630"/>
      <c r="P140" s="630"/>
      <c r="Q140" s="630"/>
      <c r="R140" s="427"/>
    </row>
    <row r="141" spans="1:18" x14ac:dyDescent="0.25">
      <c r="A141" s="222"/>
      <c r="B141" s="222"/>
      <c r="C141" s="222"/>
      <c r="D141" s="222"/>
      <c r="E141" s="222"/>
      <c r="F141" s="54">
        <v>44111</v>
      </c>
      <c r="G141" s="53">
        <v>403</v>
      </c>
      <c r="H141" s="453" t="s">
        <v>136</v>
      </c>
      <c r="I141" s="454" t="s">
        <v>535</v>
      </c>
      <c r="J141" s="222"/>
      <c r="K141" s="214">
        <v>244000</v>
      </c>
      <c r="L141" s="642"/>
      <c r="M141" s="630"/>
      <c r="N141" s="630"/>
      <c r="O141" s="630"/>
      <c r="P141" s="630"/>
      <c r="Q141" s="630"/>
      <c r="R141" s="427"/>
    </row>
    <row r="142" spans="1:18" x14ac:dyDescent="0.25">
      <c r="A142" s="222"/>
      <c r="B142" s="222"/>
      <c r="C142" s="222"/>
      <c r="D142" s="222"/>
      <c r="E142" s="222"/>
      <c r="F142" s="54">
        <v>44112</v>
      </c>
      <c r="G142" s="53">
        <v>312</v>
      </c>
      <c r="H142" s="453" t="s">
        <v>76</v>
      </c>
      <c r="I142" s="221" t="s">
        <v>529</v>
      </c>
      <c r="J142" s="222"/>
      <c r="K142" s="214">
        <v>80000</v>
      </c>
      <c r="L142" s="642"/>
      <c r="M142" s="630"/>
      <c r="N142" s="630"/>
      <c r="O142" s="630"/>
      <c r="P142" s="630"/>
      <c r="Q142" s="630"/>
      <c r="R142" s="427"/>
    </row>
    <row r="143" spans="1:18" x14ac:dyDescent="0.25">
      <c r="A143" s="222"/>
      <c r="B143" s="222"/>
      <c r="C143" s="222"/>
      <c r="D143" s="222"/>
      <c r="E143" s="222"/>
      <c r="F143" s="54">
        <v>44112</v>
      </c>
      <c r="G143" s="53">
        <v>27</v>
      </c>
      <c r="H143" s="453" t="s">
        <v>39</v>
      </c>
      <c r="I143" s="221" t="s">
        <v>536</v>
      </c>
      <c r="J143" s="222"/>
      <c r="K143" s="214">
        <v>70250</v>
      </c>
      <c r="L143" s="642"/>
      <c r="M143" s="630"/>
      <c r="N143" s="630"/>
      <c r="O143" s="630"/>
      <c r="P143" s="630"/>
      <c r="Q143" s="630"/>
      <c r="R143" s="427"/>
    </row>
    <row r="144" spans="1:18" x14ac:dyDescent="0.25">
      <c r="A144" s="222"/>
      <c r="B144" s="222"/>
      <c r="C144" s="222"/>
      <c r="D144" s="222"/>
      <c r="E144" s="222"/>
      <c r="F144" s="54">
        <v>44112</v>
      </c>
      <c r="G144" s="53">
        <v>483482</v>
      </c>
      <c r="H144" s="453" t="s">
        <v>78</v>
      </c>
      <c r="I144" s="649" t="s">
        <v>587</v>
      </c>
      <c r="J144" s="222"/>
      <c r="K144" s="214">
        <v>12000</v>
      </c>
      <c r="L144" s="642"/>
      <c r="M144" s="630"/>
      <c r="N144" s="630"/>
      <c r="O144" s="630"/>
      <c r="P144" s="630"/>
      <c r="Q144" s="630"/>
      <c r="R144" s="427"/>
    </row>
    <row r="145" spans="1:18" x14ac:dyDescent="0.25">
      <c r="A145" s="222"/>
      <c r="B145" s="222"/>
      <c r="C145" s="222"/>
      <c r="D145" s="222"/>
      <c r="E145" s="222"/>
      <c r="F145" s="54">
        <v>44112</v>
      </c>
      <c r="G145" s="53">
        <v>308</v>
      </c>
      <c r="H145" s="453" t="s">
        <v>29</v>
      </c>
      <c r="I145" s="642" t="s">
        <v>590</v>
      </c>
      <c r="J145" s="222"/>
      <c r="K145" s="214">
        <v>100000</v>
      </c>
      <c r="L145" s="642"/>
      <c r="M145" s="630"/>
      <c r="N145" s="630"/>
      <c r="O145" s="630"/>
      <c r="P145" s="630"/>
      <c r="Q145" s="630"/>
      <c r="R145" s="427"/>
    </row>
    <row r="146" spans="1:18" x14ac:dyDescent="0.25">
      <c r="A146" s="222"/>
      <c r="B146" s="222"/>
      <c r="C146" s="222"/>
      <c r="D146" s="222"/>
      <c r="E146" s="222"/>
      <c r="F146" s="54">
        <v>44113</v>
      </c>
      <c r="G146" s="53">
        <v>37</v>
      </c>
      <c r="H146" s="453" t="s">
        <v>30</v>
      </c>
      <c r="I146" s="221" t="s">
        <v>537</v>
      </c>
      <c r="J146" s="222"/>
      <c r="K146" s="214">
        <v>15000</v>
      </c>
      <c r="L146" s="642"/>
      <c r="M146" s="630"/>
      <c r="N146" s="630"/>
      <c r="O146" s="630"/>
      <c r="P146" s="630"/>
      <c r="Q146" s="630"/>
      <c r="R146" s="427"/>
    </row>
    <row r="147" spans="1:18" x14ac:dyDescent="0.25">
      <c r="A147" s="222"/>
      <c r="B147" s="222"/>
      <c r="C147" s="222"/>
      <c r="D147" s="222"/>
      <c r="E147" s="222"/>
      <c r="F147" s="54">
        <v>44113</v>
      </c>
      <c r="G147" s="53">
        <v>41</v>
      </c>
      <c r="H147" s="453" t="s">
        <v>30</v>
      </c>
      <c r="I147" s="221" t="s">
        <v>538</v>
      </c>
      <c r="J147" s="222"/>
      <c r="K147" s="214">
        <v>15000</v>
      </c>
      <c r="L147" s="642"/>
      <c r="M147" s="630"/>
      <c r="N147" s="630"/>
      <c r="O147" s="630"/>
      <c r="P147" s="630"/>
      <c r="Q147" s="630"/>
      <c r="R147" s="427"/>
    </row>
    <row r="148" spans="1:18" x14ac:dyDescent="0.25">
      <c r="A148" s="222"/>
      <c r="B148" s="222"/>
      <c r="C148" s="222"/>
      <c r="D148" s="222"/>
      <c r="E148" s="222"/>
      <c r="F148" s="54">
        <v>44114</v>
      </c>
      <c r="G148" s="53">
        <v>38</v>
      </c>
      <c r="H148" s="453" t="s">
        <v>30</v>
      </c>
      <c r="I148" s="221" t="s">
        <v>539</v>
      </c>
      <c r="J148" s="222"/>
      <c r="K148" s="214">
        <v>15000</v>
      </c>
      <c r="L148" s="642"/>
      <c r="M148" s="630"/>
      <c r="N148" s="630"/>
      <c r="O148" s="630"/>
      <c r="P148" s="630"/>
      <c r="Q148" s="630"/>
      <c r="R148" s="427"/>
    </row>
    <row r="149" spans="1:18" x14ac:dyDescent="0.25">
      <c r="A149" s="222"/>
      <c r="B149" s="222"/>
      <c r="C149" s="222"/>
      <c r="D149" s="222"/>
      <c r="E149" s="222"/>
      <c r="F149" s="54">
        <v>44114</v>
      </c>
      <c r="G149" s="53">
        <v>39</v>
      </c>
      <c r="H149" s="453" t="s">
        <v>30</v>
      </c>
      <c r="I149" s="221" t="s">
        <v>540</v>
      </c>
      <c r="J149" s="222"/>
      <c r="K149" s="214">
        <v>15000</v>
      </c>
      <c r="L149" s="642"/>
      <c r="M149" s="630"/>
      <c r="N149" s="630"/>
      <c r="O149" s="630"/>
      <c r="P149" s="630"/>
      <c r="Q149" s="630"/>
      <c r="R149" s="427"/>
    </row>
    <row r="150" spans="1:18" x14ac:dyDescent="0.25">
      <c r="A150" s="222"/>
      <c r="B150" s="222"/>
      <c r="C150" s="222"/>
      <c r="D150" s="222"/>
      <c r="E150" s="222"/>
      <c r="F150" s="54">
        <v>44114</v>
      </c>
      <c r="G150" s="53">
        <v>22497</v>
      </c>
      <c r="H150" s="453" t="s">
        <v>36</v>
      </c>
      <c r="I150" s="221" t="s">
        <v>522</v>
      </c>
      <c r="J150" s="222"/>
      <c r="K150" s="214">
        <v>5000</v>
      </c>
      <c r="L150" s="642"/>
      <c r="M150" s="630"/>
      <c r="N150" s="630"/>
      <c r="O150" s="630"/>
      <c r="P150" s="630"/>
      <c r="Q150" s="630"/>
      <c r="R150" s="427"/>
    </row>
    <row r="151" spans="1:18" x14ac:dyDescent="0.25">
      <c r="A151" s="222"/>
      <c r="B151" s="222"/>
      <c r="C151" s="222"/>
      <c r="D151" s="222"/>
      <c r="E151" s="222"/>
      <c r="F151" s="54">
        <v>44115</v>
      </c>
      <c r="G151" s="53">
        <v>178377</v>
      </c>
      <c r="H151" s="453" t="s">
        <v>36</v>
      </c>
      <c r="I151" s="221" t="s">
        <v>541</v>
      </c>
      <c r="J151" s="222"/>
      <c r="K151" s="214">
        <v>14000</v>
      </c>
      <c r="L151" s="642"/>
      <c r="M151" s="630"/>
      <c r="N151" s="630"/>
      <c r="O151" s="630"/>
      <c r="P151" s="630"/>
      <c r="Q151" s="630"/>
      <c r="R151" s="427"/>
    </row>
    <row r="152" spans="1:18" x14ac:dyDescent="0.25">
      <c r="A152" s="222"/>
      <c r="B152" s="222"/>
      <c r="C152" s="222"/>
      <c r="D152" s="222"/>
      <c r="E152" s="222"/>
      <c r="F152" s="54">
        <v>44115</v>
      </c>
      <c r="G152" s="53"/>
      <c r="H152" s="453" t="s">
        <v>133</v>
      </c>
      <c r="I152" s="642" t="s">
        <v>589</v>
      </c>
      <c r="J152" s="222"/>
      <c r="K152" s="214">
        <v>1600000</v>
      </c>
      <c r="L152" s="642"/>
      <c r="M152" s="630"/>
      <c r="N152" s="630"/>
      <c r="O152" s="630"/>
      <c r="P152" s="630"/>
      <c r="Q152" s="630"/>
      <c r="R152" s="427"/>
    </row>
    <row r="153" spans="1:18" x14ac:dyDescent="0.25">
      <c r="A153" s="222"/>
      <c r="B153" s="222"/>
      <c r="C153" s="222"/>
      <c r="D153" s="222"/>
      <c r="E153" s="222"/>
      <c r="F153" s="54">
        <v>44116</v>
      </c>
      <c r="G153" s="53">
        <v>45</v>
      </c>
      <c r="H153" s="453" t="s">
        <v>30</v>
      </c>
      <c r="I153" s="221" t="s">
        <v>542</v>
      </c>
      <c r="J153" s="222"/>
      <c r="K153" s="214">
        <v>4500</v>
      </c>
      <c r="L153" s="642"/>
      <c r="M153" s="630"/>
      <c r="N153" s="630"/>
      <c r="O153" s="630"/>
      <c r="P153" s="630"/>
      <c r="Q153" s="630"/>
      <c r="R153" s="427"/>
    </row>
    <row r="154" spans="1:18" x14ac:dyDescent="0.25">
      <c r="A154" s="222"/>
      <c r="B154" s="222"/>
      <c r="C154" s="222"/>
      <c r="D154" s="222"/>
      <c r="E154" s="222"/>
      <c r="F154" s="54">
        <v>44116</v>
      </c>
      <c r="G154" s="53">
        <v>40</v>
      </c>
      <c r="H154" s="453" t="s">
        <v>30</v>
      </c>
      <c r="I154" s="221" t="s">
        <v>543</v>
      </c>
      <c r="J154" s="222"/>
      <c r="K154" s="214">
        <v>15000</v>
      </c>
      <c r="L154" s="642"/>
      <c r="M154" s="630"/>
      <c r="N154" s="630"/>
      <c r="O154" s="630"/>
      <c r="P154" s="630"/>
      <c r="Q154" s="630"/>
      <c r="R154" s="427"/>
    </row>
    <row r="155" spans="1:18" x14ac:dyDescent="0.25">
      <c r="A155" s="222"/>
      <c r="B155" s="222"/>
      <c r="C155" s="222"/>
      <c r="D155" s="222"/>
      <c r="E155" s="222"/>
      <c r="F155" s="54">
        <v>44117</v>
      </c>
      <c r="G155" s="53">
        <v>42</v>
      </c>
      <c r="H155" s="453" t="s">
        <v>30</v>
      </c>
      <c r="I155" s="221" t="s">
        <v>544</v>
      </c>
      <c r="J155" s="222"/>
      <c r="K155" s="214">
        <v>15000</v>
      </c>
      <c r="L155" s="642"/>
      <c r="M155" s="630"/>
      <c r="N155" s="630"/>
      <c r="O155" s="630"/>
      <c r="P155" s="630"/>
      <c r="Q155" s="630"/>
      <c r="R155" s="427"/>
    </row>
    <row r="156" spans="1:18" x14ac:dyDescent="0.25">
      <c r="A156" s="222"/>
      <c r="B156" s="222"/>
      <c r="C156" s="222"/>
      <c r="D156" s="222"/>
      <c r="E156" s="222"/>
      <c r="F156" s="54">
        <v>44117</v>
      </c>
      <c r="G156" s="53">
        <v>43</v>
      </c>
      <c r="H156" s="453" t="s">
        <v>30</v>
      </c>
      <c r="I156" s="221" t="s">
        <v>545</v>
      </c>
      <c r="J156" s="222"/>
      <c r="K156" s="214">
        <v>15000</v>
      </c>
      <c r="L156" s="642"/>
      <c r="M156" s="630"/>
      <c r="N156" s="630"/>
      <c r="O156" s="630"/>
      <c r="P156" s="630"/>
      <c r="Q156" s="630"/>
      <c r="R156" s="427"/>
    </row>
    <row r="157" spans="1:18" x14ac:dyDescent="0.25">
      <c r="A157" s="222"/>
      <c r="B157" s="222"/>
      <c r="C157" s="222"/>
      <c r="D157" s="222"/>
      <c r="E157" s="222"/>
      <c r="F157" s="54">
        <v>44117</v>
      </c>
      <c r="G157" s="53">
        <v>20201310</v>
      </c>
      <c r="H157" s="453" t="s">
        <v>136</v>
      </c>
      <c r="I157" s="221" t="s">
        <v>599</v>
      </c>
      <c r="J157" s="222"/>
      <c r="K157" s="214">
        <v>131600</v>
      </c>
      <c r="L157" s="646"/>
      <c r="M157" s="630"/>
      <c r="N157" s="630"/>
      <c r="O157" s="630"/>
      <c r="P157" s="630"/>
      <c r="Q157" s="630"/>
      <c r="R157" s="427"/>
    </row>
    <row r="158" spans="1:18" x14ac:dyDescent="0.25">
      <c r="A158" s="222"/>
      <c r="B158" s="222"/>
      <c r="C158" s="222"/>
      <c r="D158" s="222"/>
      <c r="E158" s="222"/>
      <c r="F158" s="54">
        <v>44117</v>
      </c>
      <c r="G158" s="53">
        <v>49</v>
      </c>
      <c r="H158" s="453" t="s">
        <v>30</v>
      </c>
      <c r="I158" s="221" t="s">
        <v>546</v>
      </c>
      <c r="J158" s="222"/>
      <c r="K158" s="214">
        <v>15000</v>
      </c>
      <c r="L158" s="642"/>
      <c r="M158" s="630"/>
      <c r="N158" s="630"/>
      <c r="O158" s="630"/>
      <c r="P158" s="630"/>
      <c r="Q158" s="630"/>
      <c r="R158" s="427"/>
    </row>
    <row r="159" spans="1:18" x14ac:dyDescent="0.25">
      <c r="A159" s="222"/>
      <c r="B159" s="222"/>
      <c r="C159" s="222"/>
      <c r="D159" s="222"/>
      <c r="E159" s="222"/>
      <c r="F159" s="54">
        <v>44117</v>
      </c>
      <c r="G159" s="53">
        <v>48</v>
      </c>
      <c r="H159" s="453" t="s">
        <v>30</v>
      </c>
      <c r="I159" s="221" t="s">
        <v>547</v>
      </c>
      <c r="J159" s="222"/>
      <c r="K159" s="214">
        <v>15000</v>
      </c>
      <c r="L159" s="642"/>
      <c r="M159" s="630"/>
      <c r="N159" s="630"/>
      <c r="O159" s="630"/>
      <c r="P159" s="630"/>
      <c r="Q159" s="630"/>
      <c r="R159" s="427"/>
    </row>
    <row r="160" spans="1:18" x14ac:dyDescent="0.25">
      <c r="A160" s="222"/>
      <c r="B160" s="222"/>
      <c r="C160" s="222"/>
      <c r="D160" s="222"/>
      <c r="E160" s="222"/>
      <c r="F160" s="54">
        <v>44117</v>
      </c>
      <c r="G160" s="53">
        <v>46</v>
      </c>
      <c r="H160" s="453" t="s">
        <v>30</v>
      </c>
      <c r="I160" s="221" t="s">
        <v>548</v>
      </c>
      <c r="J160" s="222"/>
      <c r="K160" s="214">
        <v>15000</v>
      </c>
      <c r="L160" s="642"/>
      <c r="M160" s="630"/>
      <c r="N160" s="630"/>
      <c r="O160" s="630"/>
      <c r="P160" s="630"/>
      <c r="Q160" s="630"/>
      <c r="R160" s="427"/>
    </row>
    <row r="161" spans="1:18" x14ac:dyDescent="0.25">
      <c r="A161" s="222"/>
      <c r="B161" s="222"/>
      <c r="C161" s="222"/>
      <c r="D161" s="222"/>
      <c r="E161" s="222"/>
      <c r="F161" s="54">
        <v>44117</v>
      </c>
      <c r="G161" s="53">
        <v>47</v>
      </c>
      <c r="H161" s="453" t="s">
        <v>30</v>
      </c>
      <c r="I161" s="221" t="s">
        <v>549</v>
      </c>
      <c r="J161" s="222"/>
      <c r="K161" s="214">
        <v>4500</v>
      </c>
      <c r="L161" s="642"/>
      <c r="M161" s="630"/>
      <c r="N161" s="630"/>
      <c r="O161" s="630"/>
      <c r="P161" s="630"/>
      <c r="Q161" s="630"/>
      <c r="R161" s="427"/>
    </row>
    <row r="162" spans="1:18" x14ac:dyDescent="0.25">
      <c r="A162" s="222"/>
      <c r="B162" s="222"/>
      <c r="C162" s="222"/>
      <c r="D162" s="222"/>
      <c r="E162" s="222"/>
      <c r="F162" s="54">
        <v>44117</v>
      </c>
      <c r="G162" s="53">
        <v>3215</v>
      </c>
      <c r="H162" s="453" t="s">
        <v>136</v>
      </c>
      <c r="I162" s="454" t="s">
        <v>532</v>
      </c>
      <c r="J162" s="222"/>
      <c r="K162" s="214">
        <v>5000</v>
      </c>
      <c r="L162" s="642"/>
      <c r="M162" s="630"/>
      <c r="N162" s="630"/>
      <c r="O162" s="630"/>
      <c r="P162" s="630"/>
      <c r="Q162" s="630"/>
      <c r="R162" s="427"/>
    </row>
    <row r="163" spans="1:18" x14ac:dyDescent="0.25">
      <c r="A163" s="222"/>
      <c r="B163" s="222"/>
      <c r="C163" s="222"/>
      <c r="D163" s="222"/>
      <c r="E163" s="222"/>
      <c r="F163" s="54">
        <v>44117</v>
      </c>
      <c r="G163" s="53">
        <v>126882</v>
      </c>
      <c r="H163" s="453" t="s">
        <v>36</v>
      </c>
      <c r="I163" s="221" t="s">
        <v>522</v>
      </c>
      <c r="J163" s="222"/>
      <c r="K163" s="214">
        <v>5000</v>
      </c>
      <c r="L163" s="642"/>
      <c r="M163" s="630"/>
      <c r="N163" s="630"/>
      <c r="O163" s="630"/>
      <c r="P163" s="630"/>
      <c r="Q163" s="630"/>
      <c r="R163" s="427"/>
    </row>
    <row r="164" spans="1:18" x14ac:dyDescent="0.25">
      <c r="A164" s="222"/>
      <c r="B164" s="222"/>
      <c r="C164" s="222"/>
      <c r="D164" s="222"/>
      <c r="E164" s="222"/>
      <c r="F164" s="54">
        <v>44118</v>
      </c>
      <c r="G164" s="53">
        <v>316</v>
      </c>
      <c r="H164" s="453" t="s">
        <v>78</v>
      </c>
      <c r="I164" s="221" t="s">
        <v>529</v>
      </c>
      <c r="J164" s="222"/>
      <c r="K164" s="214">
        <v>75000</v>
      </c>
      <c r="L164" s="642"/>
      <c r="M164" s="630"/>
      <c r="N164" s="630"/>
      <c r="O164" s="630"/>
      <c r="P164" s="630"/>
      <c r="Q164" s="630"/>
      <c r="R164" s="427"/>
    </row>
    <row r="165" spans="1:18" x14ac:dyDescent="0.25">
      <c r="A165" s="222"/>
      <c r="B165" s="222"/>
      <c r="C165" s="222"/>
      <c r="D165" s="222"/>
      <c r="E165" s="222"/>
      <c r="F165" s="54">
        <v>44118</v>
      </c>
      <c r="G165" s="53"/>
      <c r="H165" s="453" t="s">
        <v>86</v>
      </c>
      <c r="I165" s="221" t="s">
        <v>573</v>
      </c>
      <c r="J165" s="222"/>
      <c r="K165" s="214">
        <v>100000</v>
      </c>
      <c r="L165" s="642"/>
      <c r="M165" s="630"/>
      <c r="N165" s="630"/>
      <c r="O165" s="630"/>
      <c r="P165" s="630"/>
      <c r="Q165" s="630"/>
      <c r="R165" s="427"/>
    </row>
    <row r="166" spans="1:18" x14ac:dyDescent="0.25">
      <c r="A166" s="222"/>
      <c r="B166" s="222"/>
      <c r="C166" s="222"/>
      <c r="D166" s="222"/>
      <c r="E166" s="222"/>
      <c r="F166" s="54">
        <v>44118</v>
      </c>
      <c r="G166" s="53">
        <v>62</v>
      </c>
      <c r="H166" s="453" t="s">
        <v>86</v>
      </c>
      <c r="I166" s="221" t="s">
        <v>572</v>
      </c>
      <c r="J166" s="222"/>
      <c r="K166" s="214">
        <v>100000</v>
      </c>
      <c r="L166" s="642"/>
      <c r="M166" s="630"/>
      <c r="N166" s="630"/>
      <c r="O166" s="630"/>
      <c r="P166" s="630"/>
      <c r="Q166" s="630"/>
      <c r="R166" s="427"/>
    </row>
    <row r="167" spans="1:18" x14ac:dyDescent="0.25">
      <c r="A167" s="222"/>
      <c r="B167" s="222"/>
      <c r="C167" s="222"/>
      <c r="D167" s="222"/>
      <c r="E167" s="222"/>
      <c r="F167" s="54">
        <v>44118</v>
      </c>
      <c r="G167" s="53">
        <v>315</v>
      </c>
      <c r="H167" s="453" t="s">
        <v>86</v>
      </c>
      <c r="I167" s="221" t="s">
        <v>574</v>
      </c>
      <c r="J167" s="222"/>
      <c r="K167" s="214">
        <v>75000</v>
      </c>
      <c r="L167" s="642"/>
      <c r="M167" s="630"/>
      <c r="N167" s="630"/>
      <c r="O167" s="630"/>
      <c r="P167" s="630"/>
      <c r="Q167" s="630"/>
      <c r="R167" s="427"/>
    </row>
    <row r="168" spans="1:18" x14ac:dyDescent="0.25">
      <c r="A168" s="222"/>
      <c r="B168" s="222"/>
      <c r="C168" s="222"/>
      <c r="D168" s="222"/>
      <c r="E168" s="222"/>
      <c r="F168" s="54">
        <v>44119</v>
      </c>
      <c r="G168" s="53">
        <v>5</v>
      </c>
      <c r="H168" s="453" t="s">
        <v>78</v>
      </c>
      <c r="I168" s="221" t="s">
        <v>420</v>
      </c>
      <c r="J168" s="222"/>
      <c r="K168" s="214">
        <v>35000</v>
      </c>
      <c r="L168" s="642"/>
      <c r="M168" s="630"/>
      <c r="N168" s="630"/>
      <c r="O168" s="630"/>
      <c r="P168" s="630"/>
      <c r="Q168" s="630"/>
      <c r="R168" s="427"/>
    </row>
    <row r="169" spans="1:18" x14ac:dyDescent="0.25">
      <c r="A169" s="222"/>
      <c r="B169" s="222"/>
      <c r="C169" s="222"/>
      <c r="D169" s="222"/>
      <c r="E169" s="222"/>
      <c r="F169" s="54">
        <v>44119</v>
      </c>
      <c r="G169" s="53">
        <v>44</v>
      </c>
      <c r="H169" s="453" t="s">
        <v>30</v>
      </c>
      <c r="I169" s="221" t="s">
        <v>531</v>
      </c>
      <c r="J169" s="222"/>
      <c r="K169" s="214">
        <v>15000</v>
      </c>
      <c r="L169" s="642"/>
      <c r="M169" s="630"/>
      <c r="N169" s="630"/>
      <c r="O169" s="630"/>
      <c r="P169" s="630"/>
      <c r="Q169" s="630"/>
      <c r="R169" s="427"/>
    </row>
    <row r="170" spans="1:18" x14ac:dyDescent="0.25">
      <c r="A170" s="222"/>
      <c r="B170" s="222"/>
      <c r="C170" s="222"/>
      <c r="D170" s="222"/>
      <c r="E170" s="222"/>
      <c r="F170" s="54">
        <v>44119</v>
      </c>
      <c r="G170" s="53">
        <v>253</v>
      </c>
      <c r="H170" s="453" t="s">
        <v>30</v>
      </c>
      <c r="I170" s="221" t="s">
        <v>550</v>
      </c>
      <c r="J170" s="222"/>
      <c r="K170" s="214">
        <v>15000</v>
      </c>
      <c r="L170" s="642"/>
      <c r="M170" s="630"/>
      <c r="N170" s="630"/>
      <c r="O170" s="630"/>
      <c r="P170" s="630"/>
      <c r="Q170" s="630"/>
      <c r="R170" s="427"/>
    </row>
    <row r="171" spans="1:18" x14ac:dyDescent="0.25">
      <c r="A171" s="222"/>
      <c r="B171" s="222"/>
      <c r="C171" s="222"/>
      <c r="D171" s="222"/>
      <c r="E171" s="222"/>
      <c r="F171" s="54">
        <v>44119</v>
      </c>
      <c r="G171" s="53"/>
      <c r="H171" s="453" t="s">
        <v>87</v>
      </c>
      <c r="I171" s="642" t="s">
        <v>591</v>
      </c>
      <c r="J171" s="222"/>
      <c r="K171" s="214">
        <v>150000</v>
      </c>
      <c r="L171" s="642"/>
      <c r="M171" s="630"/>
      <c r="N171" s="630"/>
      <c r="O171" s="630"/>
      <c r="P171" s="630"/>
      <c r="Q171" s="630"/>
      <c r="R171" s="427"/>
    </row>
    <row r="172" spans="1:18" x14ac:dyDescent="0.25">
      <c r="A172" s="222"/>
      <c r="B172" s="222"/>
      <c r="C172" s="222"/>
      <c r="D172" s="222"/>
      <c r="E172" s="222"/>
      <c r="F172" s="54">
        <v>44119</v>
      </c>
      <c r="G172" s="53">
        <v>113</v>
      </c>
      <c r="H172" s="453" t="s">
        <v>87</v>
      </c>
      <c r="I172" s="642" t="s">
        <v>592</v>
      </c>
      <c r="J172" s="222"/>
      <c r="K172" s="214">
        <v>225000</v>
      </c>
      <c r="L172" s="642"/>
      <c r="M172" s="630"/>
      <c r="N172" s="630"/>
      <c r="O172" s="630"/>
      <c r="P172" s="630"/>
      <c r="Q172" s="630"/>
      <c r="R172" s="427"/>
    </row>
    <row r="173" spans="1:18" x14ac:dyDescent="0.25">
      <c r="A173" s="222"/>
      <c r="B173" s="222"/>
      <c r="C173" s="222"/>
      <c r="D173" s="222"/>
      <c r="E173" s="222"/>
      <c r="F173" s="54">
        <v>44120</v>
      </c>
      <c r="G173" s="53">
        <v>457</v>
      </c>
      <c r="H173" s="453" t="s">
        <v>30</v>
      </c>
      <c r="I173" s="221" t="s">
        <v>551</v>
      </c>
      <c r="J173" s="222"/>
      <c r="K173" s="214">
        <v>15000</v>
      </c>
      <c r="L173" s="642"/>
      <c r="M173" s="630"/>
      <c r="N173" s="630"/>
      <c r="O173" s="630"/>
      <c r="P173" s="630"/>
      <c r="Q173" s="630"/>
      <c r="R173" s="427"/>
    </row>
    <row r="174" spans="1:18" x14ac:dyDescent="0.25">
      <c r="A174" s="222"/>
      <c r="B174" s="222"/>
      <c r="C174" s="222"/>
      <c r="D174" s="222"/>
      <c r="E174" s="222"/>
      <c r="F174" s="54">
        <v>44120</v>
      </c>
      <c r="G174" s="53">
        <v>452</v>
      </c>
      <c r="H174" s="453" t="s">
        <v>30</v>
      </c>
      <c r="I174" s="221" t="s">
        <v>552</v>
      </c>
      <c r="J174" s="222"/>
      <c r="K174" s="214">
        <v>15000</v>
      </c>
      <c r="L174" s="642"/>
      <c r="M174" s="588"/>
      <c r="N174" s="588"/>
      <c r="O174" s="588"/>
      <c r="P174" s="588"/>
      <c r="Q174" s="588"/>
      <c r="R174" s="427"/>
    </row>
    <row r="175" spans="1:18" x14ac:dyDescent="0.25">
      <c r="A175" s="222"/>
      <c r="B175" s="222"/>
      <c r="C175" s="222"/>
      <c r="D175" s="222"/>
      <c r="E175" s="222"/>
      <c r="F175" s="54">
        <v>44120</v>
      </c>
      <c r="G175" s="53">
        <v>455</v>
      </c>
      <c r="H175" s="453" t="s">
        <v>30</v>
      </c>
      <c r="I175" s="221" t="s">
        <v>553</v>
      </c>
      <c r="J175" s="222"/>
      <c r="K175" s="214">
        <v>15000</v>
      </c>
      <c r="L175" s="642"/>
      <c r="M175" s="588"/>
      <c r="N175" s="588"/>
      <c r="O175" s="588"/>
      <c r="P175" s="588"/>
      <c r="Q175" s="588"/>
      <c r="R175" s="427"/>
    </row>
    <row r="176" spans="1:18" x14ac:dyDescent="0.25">
      <c r="A176" s="222"/>
      <c r="B176" s="222"/>
      <c r="C176" s="222"/>
      <c r="D176" s="222"/>
      <c r="E176" s="222"/>
      <c r="F176" s="54">
        <v>44120</v>
      </c>
      <c r="G176" s="53">
        <v>126894</v>
      </c>
      <c r="H176" s="453" t="s">
        <v>36</v>
      </c>
      <c r="I176" s="221" t="s">
        <v>522</v>
      </c>
      <c r="J176" s="222"/>
      <c r="K176" s="214">
        <v>5000</v>
      </c>
      <c r="L176" s="642"/>
      <c r="M176" s="588"/>
      <c r="N176" s="588"/>
      <c r="O176" s="588"/>
      <c r="P176" s="588"/>
      <c r="Q176" s="588"/>
      <c r="R176" s="427"/>
    </row>
    <row r="177" spans="1:18" x14ac:dyDescent="0.25">
      <c r="A177" s="222"/>
      <c r="B177" s="222"/>
      <c r="C177" s="222"/>
      <c r="D177" s="222"/>
      <c r="E177" s="222"/>
      <c r="F177" s="54">
        <v>44121</v>
      </c>
      <c r="G177" s="53">
        <v>50</v>
      </c>
      <c r="H177" s="453" t="s">
        <v>30</v>
      </c>
      <c r="I177" s="221" t="s">
        <v>554</v>
      </c>
      <c r="J177" s="222"/>
      <c r="K177" s="214">
        <v>15000</v>
      </c>
      <c r="L177" s="642"/>
      <c r="M177" s="588"/>
      <c r="N177" s="588"/>
      <c r="O177" s="588"/>
      <c r="P177" s="588"/>
      <c r="Q177" s="588"/>
      <c r="R177" s="427"/>
    </row>
    <row r="178" spans="1:18" x14ac:dyDescent="0.25">
      <c r="A178" s="222"/>
      <c r="B178" s="222"/>
      <c r="C178" s="222"/>
      <c r="D178" s="222"/>
      <c r="E178" s="222"/>
      <c r="F178" s="54">
        <v>44121</v>
      </c>
      <c r="G178" s="53">
        <v>51</v>
      </c>
      <c r="H178" s="453" t="s">
        <v>30</v>
      </c>
      <c r="I178" s="221" t="s">
        <v>555</v>
      </c>
      <c r="J178" s="222"/>
      <c r="K178" s="214">
        <v>4500</v>
      </c>
      <c r="L178" s="642"/>
      <c r="M178" s="588"/>
      <c r="N178" s="588"/>
      <c r="O178" s="588"/>
      <c r="P178" s="588"/>
      <c r="Q178" s="588"/>
      <c r="R178" s="427"/>
    </row>
    <row r="179" spans="1:18" x14ac:dyDescent="0.25">
      <c r="A179" s="222"/>
      <c r="B179" s="222"/>
      <c r="C179" s="222"/>
      <c r="D179" s="222"/>
      <c r="E179" s="222"/>
      <c r="F179" s="54">
        <v>44121</v>
      </c>
      <c r="G179" s="53">
        <v>317</v>
      </c>
      <c r="H179" s="453" t="s">
        <v>29</v>
      </c>
      <c r="I179" s="642" t="s">
        <v>593</v>
      </c>
      <c r="J179" s="222"/>
      <c r="K179" s="214">
        <v>100000</v>
      </c>
      <c r="L179" s="642"/>
      <c r="M179" s="588"/>
      <c r="N179" s="588"/>
      <c r="O179" s="588"/>
      <c r="P179" s="588"/>
      <c r="Q179" s="588"/>
      <c r="R179" s="427"/>
    </row>
    <row r="180" spans="1:18" x14ac:dyDescent="0.25">
      <c r="A180" s="222"/>
      <c r="B180" s="222"/>
      <c r="C180" s="222"/>
      <c r="D180" s="222"/>
      <c r="E180" s="222"/>
      <c r="F180" s="54">
        <v>44121</v>
      </c>
      <c r="G180" s="53">
        <v>319</v>
      </c>
      <c r="H180" s="453" t="s">
        <v>29</v>
      </c>
      <c r="I180" s="642" t="s">
        <v>594</v>
      </c>
      <c r="J180" s="222"/>
      <c r="K180" s="214">
        <v>100000</v>
      </c>
      <c r="L180" s="642"/>
      <c r="M180" s="588"/>
      <c r="N180" s="588"/>
      <c r="O180" s="588"/>
      <c r="P180" s="588"/>
      <c r="Q180" s="588"/>
      <c r="R180" s="427"/>
    </row>
    <row r="181" spans="1:18" x14ac:dyDescent="0.25">
      <c r="A181" s="222"/>
      <c r="B181" s="222"/>
      <c r="C181" s="222"/>
      <c r="D181" s="222"/>
      <c r="E181" s="222"/>
      <c r="F181" s="54">
        <v>44123</v>
      </c>
      <c r="G181" s="53">
        <v>264</v>
      </c>
      <c r="H181" s="453" t="s">
        <v>136</v>
      </c>
      <c r="I181" s="454" t="s">
        <v>524</v>
      </c>
      <c r="J181" s="222"/>
      <c r="K181" s="214">
        <v>5000</v>
      </c>
      <c r="L181" s="642"/>
      <c r="M181" s="588"/>
      <c r="N181" s="588"/>
      <c r="O181" s="588"/>
      <c r="P181" s="588"/>
      <c r="Q181" s="588"/>
      <c r="R181" s="427"/>
    </row>
    <row r="182" spans="1:18" x14ac:dyDescent="0.25">
      <c r="A182" s="222"/>
      <c r="B182" s="222"/>
      <c r="C182" s="222"/>
      <c r="D182" s="222"/>
      <c r="E182" s="222"/>
      <c r="F182" s="54">
        <v>44124</v>
      </c>
      <c r="G182" s="53">
        <v>318</v>
      </c>
      <c r="H182" s="453" t="s">
        <v>26</v>
      </c>
      <c r="I182" s="221" t="s">
        <v>558</v>
      </c>
      <c r="J182" s="222"/>
      <c r="K182" s="214">
        <v>20000</v>
      </c>
      <c r="L182" s="642"/>
      <c r="M182" s="588"/>
      <c r="N182" s="588"/>
      <c r="O182" s="588"/>
      <c r="P182" s="588"/>
      <c r="Q182" s="588"/>
      <c r="R182" s="427"/>
    </row>
    <row r="183" spans="1:18" x14ac:dyDescent="0.25">
      <c r="A183" s="222"/>
      <c r="B183" s="222"/>
      <c r="C183" s="222"/>
      <c r="D183" s="222"/>
      <c r="E183" s="222"/>
      <c r="F183" s="54">
        <v>44124</v>
      </c>
      <c r="G183" s="53">
        <v>254</v>
      </c>
      <c r="H183" s="453" t="s">
        <v>30</v>
      </c>
      <c r="I183" s="221" t="s">
        <v>556</v>
      </c>
      <c r="J183" s="222"/>
      <c r="K183" s="214">
        <v>15000</v>
      </c>
      <c r="L183" s="495"/>
      <c r="M183" s="588"/>
      <c r="N183" s="588"/>
      <c r="O183" s="588"/>
      <c r="P183" s="588"/>
      <c r="Q183" s="588"/>
      <c r="R183" s="427"/>
    </row>
    <row r="184" spans="1:18" x14ac:dyDescent="0.25">
      <c r="A184" s="222"/>
      <c r="B184" s="222"/>
      <c r="C184" s="222"/>
      <c r="D184" s="222"/>
      <c r="E184" s="222"/>
      <c r="F184" s="54">
        <v>44124</v>
      </c>
      <c r="G184" s="53">
        <v>255</v>
      </c>
      <c r="H184" s="453" t="s">
        <v>30</v>
      </c>
      <c r="I184" s="221" t="s">
        <v>557</v>
      </c>
      <c r="J184" s="222"/>
      <c r="K184" s="214">
        <v>4500</v>
      </c>
      <c r="L184" s="495"/>
      <c r="M184" s="588"/>
      <c r="N184" s="588"/>
      <c r="O184" s="588"/>
      <c r="P184" s="588"/>
      <c r="Q184" s="588"/>
      <c r="R184" s="427"/>
    </row>
    <row r="185" spans="1:18" x14ac:dyDescent="0.25">
      <c r="A185" s="222"/>
      <c r="B185" s="222"/>
      <c r="C185" s="222"/>
      <c r="D185" s="222"/>
      <c r="E185" s="222"/>
      <c r="F185" s="54">
        <v>44124</v>
      </c>
      <c r="G185" s="53">
        <v>260</v>
      </c>
      <c r="H185" s="453" t="s">
        <v>136</v>
      </c>
      <c r="I185" s="454" t="s">
        <v>524</v>
      </c>
      <c r="J185" s="222"/>
      <c r="K185" s="214">
        <v>5000</v>
      </c>
      <c r="L185" s="495"/>
      <c r="M185" s="588"/>
      <c r="N185" s="588"/>
      <c r="O185" s="588"/>
      <c r="P185" s="588"/>
      <c r="Q185" s="588"/>
      <c r="R185" s="427"/>
    </row>
    <row r="186" spans="1:18" x14ac:dyDescent="0.25">
      <c r="A186" s="222"/>
      <c r="B186" s="222"/>
      <c r="C186" s="222"/>
      <c r="D186" s="222"/>
      <c r="E186" s="222"/>
      <c r="F186" s="54">
        <v>44124</v>
      </c>
      <c r="G186" s="53">
        <v>126608</v>
      </c>
      <c r="H186" s="453" t="s">
        <v>36</v>
      </c>
      <c r="I186" s="221" t="s">
        <v>522</v>
      </c>
      <c r="J186" s="222"/>
      <c r="K186" s="214">
        <v>5000</v>
      </c>
      <c r="L186" s="495"/>
      <c r="M186" s="588"/>
      <c r="N186" s="588"/>
      <c r="O186" s="588"/>
      <c r="P186" s="588"/>
      <c r="Q186" s="588"/>
      <c r="R186" s="427"/>
    </row>
    <row r="187" spans="1:18" x14ac:dyDescent="0.25">
      <c r="A187" s="222"/>
      <c r="B187" s="222"/>
      <c r="C187" s="222"/>
      <c r="D187" s="222"/>
      <c r="E187" s="222"/>
      <c r="F187" s="54">
        <v>44125</v>
      </c>
      <c r="G187" s="53">
        <v>256</v>
      </c>
      <c r="H187" s="453" t="s">
        <v>30</v>
      </c>
      <c r="I187" s="221" t="s">
        <v>559</v>
      </c>
      <c r="J187" s="222"/>
      <c r="K187" s="214">
        <v>15000</v>
      </c>
      <c r="L187" s="495"/>
      <c r="M187" s="588"/>
      <c r="N187" s="588"/>
      <c r="O187" s="588"/>
      <c r="P187" s="588"/>
      <c r="Q187" s="588"/>
      <c r="R187" s="427"/>
    </row>
    <row r="188" spans="1:18" x14ac:dyDescent="0.25">
      <c r="A188" s="222"/>
      <c r="B188" s="222"/>
      <c r="C188" s="222"/>
      <c r="D188" s="222"/>
      <c r="E188" s="222"/>
      <c r="F188" s="54">
        <v>44125</v>
      </c>
      <c r="G188" s="53">
        <v>263</v>
      </c>
      <c r="H188" s="453" t="s">
        <v>30</v>
      </c>
      <c r="I188" s="221" t="s">
        <v>560</v>
      </c>
      <c r="J188" s="222"/>
      <c r="K188" s="214">
        <v>4500</v>
      </c>
      <c r="L188" s="495"/>
      <c r="M188" s="588"/>
      <c r="N188" s="588"/>
      <c r="O188" s="588"/>
      <c r="P188" s="588"/>
      <c r="Q188" s="588"/>
      <c r="R188" s="427"/>
    </row>
    <row r="189" spans="1:18" x14ac:dyDescent="0.25">
      <c r="A189" s="222"/>
      <c r="B189" s="222"/>
      <c r="C189" s="222"/>
      <c r="D189" s="222"/>
      <c r="E189" s="222"/>
      <c r="F189" s="54">
        <v>44126</v>
      </c>
      <c r="G189" s="53">
        <v>320</v>
      </c>
      <c r="H189" s="453" t="s">
        <v>76</v>
      </c>
      <c r="I189" s="221" t="s">
        <v>529</v>
      </c>
      <c r="J189" s="222"/>
      <c r="K189" s="214">
        <v>90000</v>
      </c>
      <c r="L189" s="495"/>
      <c r="M189" s="588"/>
      <c r="N189" s="588"/>
      <c r="O189" s="588"/>
      <c r="P189" s="588"/>
      <c r="Q189" s="588"/>
      <c r="R189" s="427"/>
    </row>
    <row r="190" spans="1:18" x14ac:dyDescent="0.25">
      <c r="A190" s="222"/>
      <c r="B190" s="222"/>
      <c r="C190" s="222"/>
      <c r="D190" s="222"/>
      <c r="E190" s="222"/>
      <c r="F190" s="54">
        <v>44126</v>
      </c>
      <c r="G190" s="53">
        <v>262</v>
      </c>
      <c r="H190" s="453" t="s">
        <v>136</v>
      </c>
      <c r="I190" s="454" t="s">
        <v>524</v>
      </c>
      <c r="J190" s="222"/>
      <c r="K190" s="214">
        <v>5000</v>
      </c>
      <c r="L190" s="495"/>
      <c r="M190" s="588"/>
      <c r="N190" s="588"/>
      <c r="O190" s="588"/>
      <c r="P190" s="588"/>
      <c r="Q190" s="588"/>
      <c r="R190" s="427"/>
    </row>
    <row r="191" spans="1:18" x14ac:dyDescent="0.25">
      <c r="A191" s="222"/>
      <c r="B191" s="222"/>
      <c r="C191" s="222"/>
      <c r="D191" s="222"/>
      <c r="E191" s="222"/>
      <c r="F191" s="54">
        <v>44126</v>
      </c>
      <c r="G191" s="53">
        <v>1079</v>
      </c>
      <c r="H191" s="453" t="s">
        <v>136</v>
      </c>
      <c r="I191" s="454" t="s">
        <v>561</v>
      </c>
      <c r="J191" s="222"/>
      <c r="K191" s="214">
        <v>16000</v>
      </c>
      <c r="L191" s="495"/>
      <c r="M191" s="588"/>
      <c r="N191" s="588"/>
      <c r="O191" s="588"/>
      <c r="P191" s="588"/>
      <c r="Q191" s="588"/>
      <c r="R191" s="427"/>
    </row>
    <row r="192" spans="1:18" x14ac:dyDescent="0.25">
      <c r="A192" s="222"/>
      <c r="B192" s="222"/>
      <c r="C192" s="222"/>
      <c r="D192" s="222"/>
      <c r="E192" s="222"/>
      <c r="F192" s="54">
        <v>44127</v>
      </c>
      <c r="G192" s="53">
        <v>258</v>
      </c>
      <c r="H192" s="453" t="s">
        <v>30</v>
      </c>
      <c r="I192" s="221" t="s">
        <v>562</v>
      </c>
      <c r="J192" s="222"/>
      <c r="K192" s="214">
        <v>15000</v>
      </c>
      <c r="L192" s="495"/>
      <c r="M192" s="588"/>
      <c r="N192" s="588"/>
      <c r="O192" s="588"/>
      <c r="P192" s="588"/>
      <c r="Q192" s="588"/>
      <c r="R192" s="427"/>
    </row>
    <row r="193" spans="1:18" x14ac:dyDescent="0.25">
      <c r="A193" s="222"/>
      <c r="B193" s="222"/>
      <c r="C193" s="222"/>
      <c r="D193" s="222"/>
      <c r="E193" s="222"/>
      <c r="F193" s="54">
        <v>44127</v>
      </c>
      <c r="G193" s="53">
        <v>259</v>
      </c>
      <c r="H193" s="453" t="s">
        <v>30</v>
      </c>
      <c r="I193" s="221" t="s">
        <v>563</v>
      </c>
      <c r="J193" s="222"/>
      <c r="K193" s="214">
        <v>4500</v>
      </c>
      <c r="L193" s="495"/>
      <c r="M193" s="588"/>
      <c r="N193" s="588"/>
      <c r="O193" s="588"/>
      <c r="P193" s="588"/>
      <c r="Q193" s="588"/>
      <c r="R193" s="427"/>
    </row>
    <row r="194" spans="1:18" x14ac:dyDescent="0.25">
      <c r="A194" s="222"/>
      <c r="B194" s="222"/>
      <c r="C194" s="222"/>
      <c r="D194" s="222"/>
      <c r="E194" s="222"/>
      <c r="F194" s="54">
        <v>44127</v>
      </c>
      <c r="G194" s="53">
        <v>265</v>
      </c>
      <c r="H194" s="453" t="s">
        <v>136</v>
      </c>
      <c r="I194" s="454" t="s">
        <v>564</v>
      </c>
      <c r="J194" s="222"/>
      <c r="K194" s="214">
        <v>5000</v>
      </c>
      <c r="L194" s="495"/>
      <c r="M194" s="588"/>
      <c r="N194" s="588"/>
      <c r="O194" s="588"/>
      <c r="P194" s="588"/>
      <c r="Q194" s="588"/>
      <c r="R194" s="427"/>
    </row>
    <row r="195" spans="1:18" x14ac:dyDescent="0.25">
      <c r="A195" s="222"/>
      <c r="B195" s="222"/>
      <c r="C195" s="222"/>
      <c r="D195" s="222"/>
      <c r="E195" s="222"/>
      <c r="F195" s="54">
        <v>44127</v>
      </c>
      <c r="G195" s="53">
        <v>126625</v>
      </c>
      <c r="H195" s="453" t="s">
        <v>36</v>
      </c>
      <c r="I195" s="221" t="s">
        <v>522</v>
      </c>
      <c r="J195" s="222"/>
      <c r="K195" s="214">
        <v>5000</v>
      </c>
      <c r="L195" s="495"/>
      <c r="M195" s="588"/>
      <c r="N195" s="588"/>
      <c r="O195" s="588"/>
      <c r="P195" s="588"/>
      <c r="Q195" s="588"/>
      <c r="R195" s="427"/>
    </row>
    <row r="196" spans="1:18" x14ac:dyDescent="0.25">
      <c r="A196" s="222"/>
      <c r="B196" s="222"/>
      <c r="C196" s="222"/>
      <c r="D196" s="222"/>
      <c r="E196" s="222"/>
      <c r="F196" s="54">
        <v>44128</v>
      </c>
      <c r="G196" s="53">
        <v>20</v>
      </c>
      <c r="H196" s="453" t="s">
        <v>39</v>
      </c>
      <c r="I196" s="221" t="s">
        <v>536</v>
      </c>
      <c r="J196" s="222"/>
      <c r="K196" s="214">
        <v>19000</v>
      </c>
      <c r="L196" s="495"/>
      <c r="M196" s="588"/>
      <c r="N196" s="588"/>
      <c r="O196" s="588"/>
      <c r="P196" s="588"/>
      <c r="Q196" s="588"/>
      <c r="R196" s="427"/>
    </row>
    <row r="197" spans="1:18" x14ac:dyDescent="0.25">
      <c r="A197" s="222"/>
      <c r="B197" s="222"/>
      <c r="C197" s="222"/>
      <c r="D197" s="222"/>
      <c r="E197" s="222"/>
      <c r="F197" s="54">
        <v>44128</v>
      </c>
      <c r="G197" s="53">
        <v>323</v>
      </c>
      <c r="H197" s="453" t="s">
        <v>29</v>
      </c>
      <c r="I197" s="642" t="s">
        <v>595</v>
      </c>
      <c r="J197" s="222"/>
      <c r="K197" s="214">
        <v>100000</v>
      </c>
      <c r="L197" s="642"/>
      <c r="M197" s="588"/>
      <c r="N197" s="588"/>
      <c r="O197" s="588"/>
      <c r="P197" s="588"/>
      <c r="Q197" s="588"/>
      <c r="R197" s="427"/>
    </row>
    <row r="198" spans="1:18" x14ac:dyDescent="0.25">
      <c r="A198" s="222"/>
      <c r="B198" s="222"/>
      <c r="C198" s="222"/>
      <c r="D198" s="222"/>
      <c r="E198" s="222"/>
      <c r="F198" s="54">
        <v>44130</v>
      </c>
      <c r="G198" s="53">
        <v>1</v>
      </c>
      <c r="H198" s="453" t="s">
        <v>78</v>
      </c>
      <c r="I198" s="221" t="s">
        <v>420</v>
      </c>
      <c r="J198" s="222"/>
      <c r="K198" s="214">
        <v>30000</v>
      </c>
      <c r="L198" s="495"/>
      <c r="M198" s="588"/>
      <c r="N198" s="588"/>
      <c r="O198" s="588"/>
      <c r="P198" s="588"/>
      <c r="Q198" s="588"/>
      <c r="R198" s="427"/>
    </row>
    <row r="199" spans="1:18" x14ac:dyDescent="0.25">
      <c r="A199" s="222"/>
      <c r="B199" s="222"/>
      <c r="C199" s="222"/>
      <c r="D199" s="222"/>
      <c r="E199" s="222"/>
      <c r="F199" s="54">
        <v>44130</v>
      </c>
      <c r="G199" s="53">
        <v>321</v>
      </c>
      <c r="H199" s="453" t="s">
        <v>26</v>
      </c>
      <c r="I199" s="221" t="s">
        <v>565</v>
      </c>
      <c r="J199" s="222"/>
      <c r="K199" s="214">
        <v>20000</v>
      </c>
      <c r="L199" s="495"/>
      <c r="M199" s="588"/>
      <c r="N199" s="588"/>
      <c r="O199" s="588"/>
      <c r="P199" s="588"/>
      <c r="Q199" s="588"/>
      <c r="R199" s="427"/>
    </row>
    <row r="200" spans="1:18" x14ac:dyDescent="0.25">
      <c r="A200" s="222"/>
      <c r="B200" s="222"/>
      <c r="C200" s="222"/>
      <c r="D200" s="222"/>
      <c r="E200" s="222"/>
      <c r="F200" s="54">
        <v>44130</v>
      </c>
      <c r="G200" s="53">
        <v>322</v>
      </c>
      <c r="H200" s="453" t="s">
        <v>26</v>
      </c>
      <c r="I200" s="221" t="s">
        <v>568</v>
      </c>
      <c r="J200" s="222"/>
      <c r="K200" s="214">
        <v>20000</v>
      </c>
      <c r="L200" s="495"/>
      <c r="M200" s="588"/>
      <c r="N200" s="588"/>
      <c r="O200" s="588"/>
      <c r="P200" s="588"/>
      <c r="Q200" s="588"/>
      <c r="R200" s="427"/>
    </row>
    <row r="201" spans="1:18" x14ac:dyDescent="0.25">
      <c r="A201" s="222"/>
      <c r="B201" s="222"/>
      <c r="C201" s="222"/>
      <c r="D201" s="222"/>
      <c r="E201" s="222"/>
      <c r="F201" s="54">
        <v>44130</v>
      </c>
      <c r="G201" s="53">
        <v>302</v>
      </c>
      <c r="H201" s="453" t="s">
        <v>30</v>
      </c>
      <c r="I201" s="221" t="s">
        <v>566</v>
      </c>
      <c r="J201" s="222"/>
      <c r="K201" s="214">
        <v>15000</v>
      </c>
      <c r="L201" s="495"/>
      <c r="M201" s="588"/>
      <c r="N201" s="588"/>
      <c r="O201" s="588"/>
      <c r="P201" s="588"/>
      <c r="Q201" s="588"/>
      <c r="R201" s="427"/>
    </row>
    <row r="202" spans="1:18" x14ac:dyDescent="0.25">
      <c r="A202" s="222"/>
      <c r="B202" s="222"/>
      <c r="C202" s="222"/>
      <c r="D202" s="222"/>
      <c r="E202" s="222"/>
      <c r="F202" s="54">
        <v>44130</v>
      </c>
      <c r="G202" s="53">
        <v>301</v>
      </c>
      <c r="H202" s="453" t="s">
        <v>30</v>
      </c>
      <c r="I202" s="221" t="s">
        <v>567</v>
      </c>
      <c r="J202" s="222"/>
      <c r="K202" s="214">
        <v>15000</v>
      </c>
      <c r="L202" s="495"/>
      <c r="M202" s="588"/>
      <c r="N202" s="588"/>
      <c r="O202" s="588"/>
      <c r="P202" s="588"/>
      <c r="Q202" s="588"/>
      <c r="R202" s="427"/>
    </row>
    <row r="203" spans="1:18" x14ac:dyDescent="0.25">
      <c r="A203" s="222"/>
      <c r="B203" s="222"/>
      <c r="C203" s="222"/>
      <c r="D203" s="222"/>
      <c r="E203" s="222"/>
      <c r="F203" s="54">
        <v>44131</v>
      </c>
      <c r="G203" s="53">
        <v>3107</v>
      </c>
      <c r="H203" s="453" t="s">
        <v>37</v>
      </c>
      <c r="I203" s="221" t="s">
        <v>569</v>
      </c>
      <c r="J203" s="222"/>
      <c r="K203" s="214">
        <v>24500</v>
      </c>
      <c r="L203" s="495"/>
      <c r="M203" s="588"/>
      <c r="N203" s="588"/>
      <c r="O203" s="588"/>
      <c r="P203" s="588"/>
      <c r="Q203" s="588"/>
      <c r="R203" s="427"/>
    </row>
    <row r="204" spans="1:18" x14ac:dyDescent="0.25">
      <c r="A204" s="222"/>
      <c r="B204" s="222"/>
      <c r="C204" s="222"/>
      <c r="D204" s="222"/>
      <c r="E204" s="222"/>
      <c r="F204" s="54">
        <v>44131</v>
      </c>
      <c r="G204" s="53">
        <v>126690</v>
      </c>
      <c r="H204" s="453" t="s">
        <v>36</v>
      </c>
      <c r="I204" s="221" t="s">
        <v>522</v>
      </c>
      <c r="J204" s="222"/>
      <c r="K204" s="214">
        <v>10000</v>
      </c>
      <c r="L204" s="495"/>
      <c r="M204" s="588"/>
      <c r="N204" s="588"/>
      <c r="O204" s="588"/>
      <c r="P204" s="588"/>
      <c r="Q204" s="588"/>
      <c r="R204" s="427"/>
    </row>
    <row r="205" spans="1:18" x14ac:dyDescent="0.25">
      <c r="A205" s="222"/>
      <c r="B205" s="222"/>
      <c r="C205" s="222"/>
      <c r="D205" s="222"/>
      <c r="E205" s="222"/>
      <c r="F205" s="54">
        <v>44131</v>
      </c>
      <c r="G205" s="53">
        <v>325</v>
      </c>
      <c r="H205" s="453" t="s">
        <v>29</v>
      </c>
      <c r="I205" s="642" t="s">
        <v>596</v>
      </c>
      <c r="J205" s="222"/>
      <c r="K205" s="214">
        <v>100000</v>
      </c>
      <c r="L205" s="642"/>
      <c r="M205" s="588"/>
      <c r="N205" s="588"/>
      <c r="O205" s="588"/>
      <c r="P205" s="588"/>
      <c r="Q205" s="588"/>
      <c r="R205" s="427"/>
    </row>
    <row r="206" spans="1:18" x14ac:dyDescent="0.25">
      <c r="A206" s="222"/>
      <c r="B206" s="222"/>
      <c r="C206" s="222"/>
      <c r="D206" s="222"/>
      <c r="E206" s="222"/>
      <c r="F206" s="54">
        <v>44132</v>
      </c>
      <c r="G206" s="53">
        <v>324</v>
      </c>
      <c r="H206" s="453" t="s">
        <v>76</v>
      </c>
      <c r="I206" s="221" t="s">
        <v>529</v>
      </c>
      <c r="J206" s="222"/>
      <c r="K206" s="214">
        <v>80000</v>
      </c>
      <c r="L206" s="495"/>
      <c r="M206" s="630"/>
      <c r="N206" s="630"/>
      <c r="O206" s="630"/>
      <c r="P206" s="630"/>
      <c r="Q206" s="630"/>
      <c r="R206" s="427"/>
    </row>
    <row r="207" spans="1:18" x14ac:dyDescent="0.25">
      <c r="A207" s="222"/>
      <c r="B207" s="222"/>
      <c r="C207" s="222"/>
      <c r="D207" s="222"/>
      <c r="E207" s="222"/>
      <c r="F207" s="54">
        <v>44132</v>
      </c>
      <c r="G207" s="53">
        <v>3001</v>
      </c>
      <c r="H207" s="453" t="s">
        <v>136</v>
      </c>
      <c r="I207" s="454" t="s">
        <v>532</v>
      </c>
      <c r="J207" s="222"/>
      <c r="K207" s="214">
        <v>5000</v>
      </c>
      <c r="L207" s="495"/>
      <c r="M207" s="630"/>
      <c r="N207" s="630"/>
      <c r="O207" s="630"/>
      <c r="P207" s="630"/>
      <c r="Q207" s="630"/>
      <c r="R207" s="427"/>
    </row>
    <row r="208" spans="1:18" x14ac:dyDescent="0.25">
      <c r="A208" s="222"/>
      <c r="B208" s="222"/>
      <c r="C208" s="222"/>
      <c r="D208" s="222"/>
      <c r="E208" s="222"/>
      <c r="F208" s="54">
        <v>44134</v>
      </c>
      <c r="G208" s="53">
        <v>305</v>
      </c>
      <c r="H208" s="453" t="s">
        <v>78</v>
      </c>
      <c r="I208" s="221" t="s">
        <v>570</v>
      </c>
      <c r="J208" s="222"/>
      <c r="K208" s="214">
        <v>100000</v>
      </c>
      <c r="L208" s="495"/>
      <c r="M208" s="630"/>
      <c r="N208" s="630"/>
      <c r="O208" s="630"/>
      <c r="P208" s="630"/>
      <c r="Q208" s="630"/>
      <c r="R208" s="427"/>
    </row>
    <row r="209" spans="1:18" x14ac:dyDescent="0.25">
      <c r="A209" s="222"/>
      <c r="B209" s="222"/>
      <c r="C209" s="222"/>
      <c r="D209" s="222"/>
      <c r="E209" s="222"/>
      <c r="F209" s="54">
        <v>44134</v>
      </c>
      <c r="G209" s="53">
        <v>305</v>
      </c>
      <c r="H209" s="453" t="s">
        <v>36</v>
      </c>
      <c r="I209" s="221" t="s">
        <v>571</v>
      </c>
      <c r="J209" s="222"/>
      <c r="K209" s="214">
        <v>30000</v>
      </c>
      <c r="L209" s="495"/>
      <c r="M209" s="630"/>
      <c r="N209" s="630"/>
      <c r="O209" s="630"/>
      <c r="P209" s="630"/>
      <c r="Q209" s="630"/>
      <c r="R209" s="427"/>
    </row>
    <row r="210" spans="1:18" x14ac:dyDescent="0.25">
      <c r="A210" s="222"/>
      <c r="B210" s="222"/>
      <c r="C210" s="222"/>
      <c r="D210" s="222"/>
      <c r="E210" s="222"/>
      <c r="F210" s="54">
        <v>44135</v>
      </c>
      <c r="G210" s="53">
        <v>801</v>
      </c>
      <c r="H210" s="453" t="s">
        <v>136</v>
      </c>
      <c r="I210" s="454" t="s">
        <v>500</v>
      </c>
      <c r="J210" s="222"/>
      <c r="K210" s="214">
        <v>50000</v>
      </c>
      <c r="L210" s="495"/>
      <c r="M210" s="630"/>
      <c r="N210" s="630"/>
      <c r="O210" s="630"/>
      <c r="P210" s="630"/>
      <c r="Q210" s="630"/>
      <c r="R210" s="427"/>
    </row>
    <row r="211" spans="1:18" x14ac:dyDescent="0.25">
      <c r="A211" s="222"/>
      <c r="B211" s="222"/>
      <c r="C211" s="222"/>
      <c r="D211" s="222"/>
      <c r="E211" s="222"/>
      <c r="F211" s="54">
        <f t="shared" ref="F211:F231" si="1">F210</f>
        <v>44135</v>
      </c>
      <c r="G211" s="53">
        <v>802</v>
      </c>
      <c r="H211" s="453" t="s">
        <v>136</v>
      </c>
      <c r="I211" s="454" t="s">
        <v>501</v>
      </c>
      <c r="J211" s="222"/>
      <c r="K211" s="214">
        <v>50000</v>
      </c>
      <c r="L211" s="495"/>
      <c r="M211" s="630"/>
      <c r="N211" s="630"/>
      <c r="O211" s="630"/>
      <c r="P211" s="630"/>
      <c r="Q211" s="630"/>
      <c r="R211" s="427"/>
    </row>
    <row r="212" spans="1:18" x14ac:dyDescent="0.25">
      <c r="A212" s="222"/>
      <c r="B212" s="222"/>
      <c r="C212" s="222"/>
      <c r="D212" s="222"/>
      <c r="E212" s="222"/>
      <c r="F212" s="54">
        <f t="shared" si="1"/>
        <v>44135</v>
      </c>
      <c r="G212" s="53">
        <v>803</v>
      </c>
      <c r="H212" s="453" t="s">
        <v>136</v>
      </c>
      <c r="I212" s="454" t="s">
        <v>502</v>
      </c>
      <c r="J212" s="222"/>
      <c r="K212" s="214">
        <v>50000</v>
      </c>
      <c r="L212" s="495"/>
      <c r="M212" s="630"/>
      <c r="N212" s="630"/>
      <c r="O212" s="630"/>
      <c r="P212" s="630"/>
      <c r="Q212" s="630"/>
      <c r="R212" s="427"/>
    </row>
    <row r="213" spans="1:18" x14ac:dyDescent="0.25">
      <c r="A213" s="222"/>
      <c r="B213" s="222"/>
      <c r="C213" s="222"/>
      <c r="D213" s="222"/>
      <c r="E213" s="222"/>
      <c r="F213" s="54">
        <f t="shared" si="1"/>
        <v>44135</v>
      </c>
      <c r="G213" s="53">
        <v>804</v>
      </c>
      <c r="H213" s="453" t="s">
        <v>136</v>
      </c>
      <c r="I213" s="454" t="s">
        <v>503</v>
      </c>
      <c r="J213" s="222"/>
      <c r="K213" s="214">
        <v>50000</v>
      </c>
      <c r="L213" s="495"/>
      <c r="M213" s="630"/>
      <c r="N213" s="630"/>
      <c r="O213" s="630"/>
      <c r="P213" s="630"/>
      <c r="Q213" s="630"/>
      <c r="R213" s="427"/>
    </row>
    <row r="214" spans="1:18" x14ac:dyDescent="0.25">
      <c r="A214" s="222"/>
      <c r="B214" s="222"/>
      <c r="C214" s="222"/>
      <c r="D214" s="222"/>
      <c r="E214" s="222"/>
      <c r="F214" s="54">
        <f t="shared" si="1"/>
        <v>44135</v>
      </c>
      <c r="G214" s="53">
        <v>805</v>
      </c>
      <c r="H214" s="453" t="s">
        <v>136</v>
      </c>
      <c r="I214" s="454" t="s">
        <v>504</v>
      </c>
      <c r="J214" s="222"/>
      <c r="K214" s="214">
        <v>50000</v>
      </c>
      <c r="L214" s="495"/>
      <c r="M214" s="630"/>
      <c r="N214" s="630"/>
      <c r="O214" s="630"/>
      <c r="P214" s="630"/>
      <c r="Q214" s="630"/>
      <c r="R214" s="427"/>
    </row>
    <row r="215" spans="1:18" x14ac:dyDescent="0.25">
      <c r="A215" s="222"/>
      <c r="B215" s="222"/>
      <c r="C215" s="222"/>
      <c r="D215" s="222"/>
      <c r="E215" s="631"/>
      <c r="F215" s="54">
        <f t="shared" si="1"/>
        <v>44135</v>
      </c>
      <c r="G215" s="53">
        <v>806</v>
      </c>
      <c r="H215" s="453" t="s">
        <v>136</v>
      </c>
      <c r="I215" s="454" t="s">
        <v>505</v>
      </c>
      <c r="J215" s="222"/>
      <c r="K215" s="214">
        <v>50000</v>
      </c>
      <c r="L215" s="495"/>
      <c r="M215" s="630"/>
      <c r="N215" s="630"/>
      <c r="O215" s="630"/>
      <c r="P215" s="630"/>
      <c r="Q215" s="630"/>
      <c r="R215" s="427"/>
    </row>
    <row r="216" spans="1:18" x14ac:dyDescent="0.25">
      <c r="A216" s="222"/>
      <c r="B216" s="222"/>
      <c r="C216" s="222"/>
      <c r="D216" s="222"/>
      <c r="E216" s="631"/>
      <c r="F216" s="54">
        <f t="shared" si="1"/>
        <v>44135</v>
      </c>
      <c r="G216" s="53">
        <v>807</v>
      </c>
      <c r="H216" s="453" t="s">
        <v>136</v>
      </c>
      <c r="I216" s="454" t="s">
        <v>506</v>
      </c>
      <c r="J216" s="222"/>
      <c r="K216" s="214">
        <v>50000</v>
      </c>
      <c r="L216" s="495"/>
      <c r="M216" s="630"/>
      <c r="N216" s="630"/>
      <c r="O216" s="630"/>
      <c r="P216" s="630"/>
      <c r="Q216" s="630"/>
      <c r="R216" s="427"/>
    </row>
    <row r="217" spans="1:18" x14ac:dyDescent="0.25">
      <c r="A217" s="222"/>
      <c r="B217" s="222"/>
      <c r="C217" s="222"/>
      <c r="D217" s="222"/>
      <c r="E217" s="631"/>
      <c r="F217" s="54">
        <f t="shared" si="1"/>
        <v>44135</v>
      </c>
      <c r="G217" s="53">
        <v>808</v>
      </c>
      <c r="H217" s="453" t="s">
        <v>136</v>
      </c>
      <c r="I217" s="454" t="s">
        <v>507</v>
      </c>
      <c r="J217" s="222"/>
      <c r="K217" s="214">
        <v>50000</v>
      </c>
      <c r="L217" s="642"/>
      <c r="M217" s="630"/>
      <c r="N217" s="630"/>
      <c r="O217" s="630"/>
      <c r="P217" s="630"/>
      <c r="Q217" s="630"/>
      <c r="R217" s="427"/>
    </row>
    <row r="218" spans="1:18" x14ac:dyDescent="0.25">
      <c r="A218" s="222"/>
      <c r="B218" s="222"/>
      <c r="C218" s="222"/>
      <c r="D218" s="222"/>
      <c r="E218" s="631"/>
      <c r="F218" s="54">
        <f t="shared" si="1"/>
        <v>44135</v>
      </c>
      <c r="G218" s="53">
        <v>809</v>
      </c>
      <c r="H218" s="453" t="s">
        <v>136</v>
      </c>
      <c r="I218" s="454" t="s">
        <v>508</v>
      </c>
      <c r="J218" s="222"/>
      <c r="K218" s="214">
        <v>50000</v>
      </c>
      <c r="L218" s="642"/>
      <c r="M218" s="630"/>
      <c r="N218" s="630"/>
      <c r="O218" s="630"/>
      <c r="P218" s="630"/>
      <c r="Q218" s="630"/>
      <c r="R218" s="427"/>
    </row>
    <row r="219" spans="1:18" x14ac:dyDescent="0.25">
      <c r="A219" s="222"/>
      <c r="B219" s="222"/>
      <c r="C219" s="222"/>
      <c r="D219" s="222"/>
      <c r="E219" s="631"/>
      <c r="F219" s="54">
        <f t="shared" si="1"/>
        <v>44135</v>
      </c>
      <c r="G219" s="53">
        <v>810</v>
      </c>
      <c r="H219" s="453" t="s">
        <v>136</v>
      </c>
      <c r="I219" s="454" t="s">
        <v>509</v>
      </c>
      <c r="J219" s="222"/>
      <c r="K219" s="214">
        <v>50000</v>
      </c>
      <c r="L219" s="642"/>
      <c r="M219" s="630"/>
      <c r="N219" s="630"/>
      <c r="O219" s="630"/>
      <c r="P219" s="630"/>
      <c r="Q219" s="630"/>
      <c r="R219" s="427"/>
    </row>
    <row r="220" spans="1:18" x14ac:dyDescent="0.25">
      <c r="A220" s="222"/>
      <c r="B220" s="222"/>
      <c r="C220" s="222"/>
      <c r="D220" s="222"/>
      <c r="E220" s="631"/>
      <c r="F220" s="54">
        <f t="shared" si="1"/>
        <v>44135</v>
      </c>
      <c r="G220" s="53">
        <v>811</v>
      </c>
      <c r="H220" s="453" t="s">
        <v>136</v>
      </c>
      <c r="I220" s="454" t="s">
        <v>510</v>
      </c>
      <c r="J220" s="222"/>
      <c r="K220" s="214">
        <v>50000</v>
      </c>
      <c r="L220" s="642"/>
      <c r="M220" s="630"/>
      <c r="N220" s="630"/>
      <c r="O220" s="630"/>
      <c r="P220" s="630"/>
      <c r="Q220" s="630"/>
      <c r="R220" s="427"/>
    </row>
    <row r="221" spans="1:18" x14ac:dyDescent="0.25">
      <c r="A221" s="222"/>
      <c r="B221" s="222"/>
      <c r="C221" s="222"/>
      <c r="D221" s="222"/>
      <c r="E221" s="631"/>
      <c r="F221" s="54">
        <f t="shared" si="1"/>
        <v>44135</v>
      </c>
      <c r="G221" s="53">
        <v>812</v>
      </c>
      <c r="H221" s="453" t="s">
        <v>136</v>
      </c>
      <c r="I221" s="454" t="s">
        <v>511</v>
      </c>
      <c r="J221" s="222"/>
      <c r="K221" s="214">
        <v>50000</v>
      </c>
      <c r="L221" s="642"/>
      <c r="M221" s="630"/>
      <c r="N221" s="630"/>
      <c r="O221" s="630"/>
      <c r="P221" s="630"/>
      <c r="Q221" s="630"/>
      <c r="R221" s="427"/>
    </row>
    <row r="222" spans="1:18" x14ac:dyDescent="0.25">
      <c r="A222" s="222"/>
      <c r="B222" s="222"/>
      <c r="C222" s="222"/>
      <c r="D222" s="222"/>
      <c r="E222" s="631"/>
      <c r="F222" s="54">
        <f t="shared" si="1"/>
        <v>44135</v>
      </c>
      <c r="G222" s="53">
        <v>813</v>
      </c>
      <c r="H222" s="453" t="s">
        <v>136</v>
      </c>
      <c r="I222" s="454" t="s">
        <v>512</v>
      </c>
      <c r="J222" s="222"/>
      <c r="K222" s="214">
        <v>50000</v>
      </c>
      <c r="L222" s="642"/>
      <c r="M222" s="588"/>
      <c r="N222" s="588"/>
      <c r="O222" s="588"/>
      <c r="P222" s="588"/>
      <c r="Q222" s="588"/>
      <c r="R222" s="427"/>
    </row>
    <row r="223" spans="1:18" x14ac:dyDescent="0.25">
      <c r="A223" s="222"/>
      <c r="B223" s="222"/>
      <c r="C223" s="222"/>
      <c r="D223" s="222"/>
      <c r="E223" s="631"/>
      <c r="F223" s="54">
        <f t="shared" si="1"/>
        <v>44135</v>
      </c>
      <c r="G223" s="53">
        <v>814</v>
      </c>
      <c r="H223" s="453" t="s">
        <v>136</v>
      </c>
      <c r="I223" s="454" t="s">
        <v>513</v>
      </c>
      <c r="J223" s="222"/>
      <c r="K223" s="214">
        <v>50000</v>
      </c>
      <c r="L223" s="642"/>
      <c r="M223" s="630"/>
      <c r="N223" s="630"/>
      <c r="O223" s="630"/>
      <c r="P223" s="630"/>
      <c r="Q223" s="630"/>
      <c r="R223" s="427"/>
    </row>
    <row r="224" spans="1:18" x14ac:dyDescent="0.25">
      <c r="A224" s="222"/>
      <c r="B224" s="222"/>
      <c r="C224" s="222"/>
      <c r="D224" s="222"/>
      <c r="E224" s="631"/>
      <c r="F224" s="54">
        <f t="shared" si="1"/>
        <v>44135</v>
      </c>
      <c r="G224" s="53">
        <v>815</v>
      </c>
      <c r="H224" s="453" t="s">
        <v>136</v>
      </c>
      <c r="I224" s="454" t="s">
        <v>514</v>
      </c>
      <c r="J224" s="222"/>
      <c r="K224" s="214">
        <v>50000</v>
      </c>
      <c r="L224" s="642"/>
      <c r="M224" s="588"/>
      <c r="N224" s="588"/>
      <c r="O224" s="588"/>
      <c r="P224" s="588"/>
      <c r="Q224" s="588"/>
      <c r="R224" s="427"/>
    </row>
    <row r="225" spans="1:18" x14ac:dyDescent="0.25">
      <c r="A225" s="222"/>
      <c r="B225" s="222"/>
      <c r="C225" s="222"/>
      <c r="D225" s="222"/>
      <c r="E225" s="631"/>
      <c r="F225" s="54">
        <f t="shared" si="1"/>
        <v>44135</v>
      </c>
      <c r="G225" s="53">
        <v>816</v>
      </c>
      <c r="H225" s="453" t="s">
        <v>136</v>
      </c>
      <c r="I225" s="454" t="s">
        <v>515</v>
      </c>
      <c r="J225" s="222"/>
      <c r="K225" s="214">
        <v>50000</v>
      </c>
      <c r="L225" s="642"/>
      <c r="M225" s="630"/>
      <c r="N225" s="630"/>
      <c r="O225" s="630"/>
      <c r="P225" s="630"/>
      <c r="Q225" s="630"/>
      <c r="R225" s="427"/>
    </row>
    <row r="226" spans="1:18" x14ac:dyDescent="0.25">
      <c r="A226" s="222"/>
      <c r="B226" s="222"/>
      <c r="C226" s="222"/>
      <c r="D226" s="222"/>
      <c r="E226" s="631"/>
      <c r="F226" s="54">
        <f t="shared" si="1"/>
        <v>44135</v>
      </c>
      <c r="G226" s="53">
        <v>817</v>
      </c>
      <c r="H226" s="453" t="s">
        <v>136</v>
      </c>
      <c r="I226" s="454" t="s">
        <v>516</v>
      </c>
      <c r="J226" s="222"/>
      <c r="K226" s="214">
        <v>50000</v>
      </c>
      <c r="L226" s="642"/>
      <c r="M226" s="630"/>
      <c r="N226" s="630"/>
      <c r="O226" s="630"/>
      <c r="P226" s="630"/>
      <c r="Q226" s="630"/>
      <c r="R226" s="427"/>
    </row>
    <row r="227" spans="1:18" x14ac:dyDescent="0.25">
      <c r="A227" s="222"/>
      <c r="B227" s="222"/>
      <c r="C227" s="222"/>
      <c r="D227" s="222"/>
      <c r="E227" s="631"/>
      <c r="F227" s="54">
        <f t="shared" si="1"/>
        <v>44135</v>
      </c>
      <c r="G227" s="53">
        <v>818</v>
      </c>
      <c r="H227" s="453" t="s">
        <v>136</v>
      </c>
      <c r="I227" s="454" t="s">
        <v>517</v>
      </c>
      <c r="J227" s="222"/>
      <c r="K227" s="214">
        <v>50000</v>
      </c>
      <c r="L227" s="642"/>
      <c r="M227" s="630"/>
      <c r="N227" s="630"/>
      <c r="O227" s="630"/>
      <c r="P227" s="630"/>
      <c r="Q227" s="630"/>
      <c r="R227" s="427"/>
    </row>
    <row r="228" spans="1:18" x14ac:dyDescent="0.25">
      <c r="A228" s="222"/>
      <c r="B228" s="222"/>
      <c r="C228" s="222"/>
      <c r="D228" s="222"/>
      <c r="E228" s="631"/>
      <c r="F228" s="54">
        <f t="shared" si="1"/>
        <v>44135</v>
      </c>
      <c r="G228" s="53">
        <v>819</v>
      </c>
      <c r="H228" s="453" t="s">
        <v>136</v>
      </c>
      <c r="I228" s="454" t="s">
        <v>518</v>
      </c>
      <c r="J228" s="222"/>
      <c r="K228" s="214">
        <v>50000</v>
      </c>
      <c r="L228" s="642"/>
      <c r="M228" s="630"/>
      <c r="N228" s="630"/>
      <c r="O228" s="630"/>
      <c r="P228" s="630"/>
      <c r="Q228" s="630"/>
      <c r="R228" s="427"/>
    </row>
    <row r="229" spans="1:18" x14ac:dyDescent="0.25">
      <c r="A229" s="222"/>
      <c r="B229" s="222"/>
      <c r="C229" s="222"/>
      <c r="D229" s="222"/>
      <c r="E229" s="631"/>
      <c r="F229" s="54">
        <f t="shared" si="1"/>
        <v>44135</v>
      </c>
      <c r="G229" s="53">
        <v>820</v>
      </c>
      <c r="H229" s="453" t="s">
        <v>136</v>
      </c>
      <c r="I229" s="454" t="s">
        <v>519</v>
      </c>
      <c r="J229" s="222"/>
      <c r="K229" s="214">
        <v>50000</v>
      </c>
      <c r="L229" s="642"/>
      <c r="M229" s="630"/>
      <c r="N229" s="630"/>
      <c r="O229" s="630"/>
      <c r="P229" s="630"/>
      <c r="Q229" s="630"/>
      <c r="R229" s="427"/>
    </row>
    <row r="230" spans="1:18" x14ac:dyDescent="0.25">
      <c r="A230" s="222"/>
      <c r="B230" s="222"/>
      <c r="C230" s="222"/>
      <c r="D230" s="222"/>
      <c r="E230" s="631"/>
      <c r="F230" s="54">
        <f t="shared" si="1"/>
        <v>44135</v>
      </c>
      <c r="G230" s="53">
        <v>821</v>
      </c>
      <c r="H230" s="453" t="s">
        <v>136</v>
      </c>
      <c r="I230" s="454" t="s">
        <v>520</v>
      </c>
      <c r="J230" s="222"/>
      <c r="K230" s="214">
        <v>60000</v>
      </c>
      <c r="L230" s="642"/>
      <c r="M230" s="630"/>
      <c r="N230" s="630"/>
      <c r="O230" s="630"/>
      <c r="P230" s="630"/>
      <c r="Q230" s="630"/>
      <c r="R230" s="427"/>
    </row>
    <row r="231" spans="1:18" x14ac:dyDescent="0.25">
      <c r="A231" s="222"/>
      <c r="B231" s="222"/>
      <c r="C231" s="222"/>
      <c r="D231" s="222"/>
      <c r="E231" s="222"/>
      <c r="F231" s="54">
        <f t="shared" si="1"/>
        <v>44135</v>
      </c>
      <c r="G231" s="53">
        <v>822</v>
      </c>
      <c r="H231" s="453" t="s">
        <v>136</v>
      </c>
      <c r="I231" s="454" t="s">
        <v>521</v>
      </c>
      <c r="J231" s="222"/>
      <c r="K231" s="214">
        <v>60000</v>
      </c>
      <c r="L231" s="642"/>
      <c r="M231" s="630"/>
      <c r="N231" s="630"/>
      <c r="O231" s="630"/>
      <c r="P231" s="630"/>
      <c r="Q231" s="630"/>
      <c r="R231" s="427"/>
    </row>
    <row r="232" spans="1:18" x14ac:dyDescent="0.25">
      <c r="A232" s="222"/>
      <c r="B232" s="222"/>
      <c r="C232" s="222"/>
      <c r="D232" s="222"/>
      <c r="E232" s="222"/>
      <c r="F232" s="222"/>
      <c r="G232" s="418"/>
      <c r="H232" s="222"/>
      <c r="I232" s="222"/>
      <c r="J232" s="222"/>
      <c r="K232" s="591"/>
      <c r="L232" s="222"/>
      <c r="M232" s="427"/>
      <c r="N232" s="427"/>
      <c r="O232" s="427"/>
      <c r="P232" s="427"/>
      <c r="Q232" s="427"/>
      <c r="R232" s="427"/>
    </row>
    <row r="233" spans="1:18" x14ac:dyDescent="0.25">
      <c r="A233" s="222"/>
      <c r="B233" s="222"/>
      <c r="C233" s="222"/>
      <c r="D233" s="547">
        <f>SUM(D9:D134)</f>
        <v>14377555</v>
      </c>
      <c r="E233" s="222"/>
      <c r="F233" s="222"/>
      <c r="G233" s="418"/>
      <c r="H233" s="222"/>
      <c r="I233" s="637" t="s">
        <v>576</v>
      </c>
      <c r="J233" s="637"/>
      <c r="K233" s="638">
        <f>SUM(K9:K231)</f>
        <v>13121633</v>
      </c>
      <c r="L233" s="637"/>
      <c r="M233" s="427"/>
      <c r="N233" s="427"/>
      <c r="O233" s="427"/>
      <c r="P233" s="427"/>
      <c r="Q233" s="427"/>
      <c r="R233" s="427"/>
    </row>
    <row r="234" spans="1:18" x14ac:dyDescent="0.25">
      <c r="A234" s="222"/>
      <c r="B234" s="222"/>
      <c r="C234" s="222"/>
      <c r="D234" s="222"/>
      <c r="E234" s="222"/>
      <c r="F234" s="222"/>
      <c r="G234" s="418"/>
      <c r="H234" s="222"/>
      <c r="I234" s="637" t="s">
        <v>577</v>
      </c>
      <c r="J234" s="637"/>
      <c r="K234" s="639">
        <f>D233-K233</f>
        <v>1255922</v>
      </c>
      <c r="L234" s="637"/>
    </row>
    <row r="235" spans="1:18" x14ac:dyDescent="0.25">
      <c r="A235" s="222"/>
      <c r="B235" s="222"/>
      <c r="C235" s="222"/>
      <c r="D235" s="222"/>
      <c r="E235" s="222"/>
      <c r="F235" s="222"/>
      <c r="G235" s="418"/>
      <c r="H235" s="222"/>
      <c r="I235" s="222"/>
      <c r="J235" s="222"/>
      <c r="K235" s="591"/>
      <c r="L235" s="222"/>
    </row>
    <row r="236" spans="1:18" x14ac:dyDescent="0.25">
      <c r="A236" s="222"/>
      <c r="B236" s="222"/>
      <c r="C236" s="222"/>
      <c r="D236" s="222"/>
      <c r="E236" s="222"/>
      <c r="F236" s="222"/>
      <c r="G236" s="418"/>
      <c r="H236" s="222"/>
      <c r="I236" s="222"/>
      <c r="J236" s="222"/>
      <c r="K236" s="591"/>
      <c r="L236" s="222"/>
    </row>
  </sheetData>
  <sortState xmlns:xlrd2="http://schemas.microsoft.com/office/spreadsheetml/2017/richdata2" ref="F124:L230">
    <sortCondition ref="F124:F230"/>
  </sortState>
  <mergeCells count="13">
    <mergeCell ref="A1:P1"/>
    <mergeCell ref="A2:R2"/>
    <mergeCell ref="D6:E6"/>
    <mergeCell ref="M9:P9"/>
    <mergeCell ref="M10:O10"/>
    <mergeCell ref="M78:N78"/>
    <mergeCell ref="M17:N17"/>
    <mergeCell ref="M11:N11"/>
    <mergeCell ref="M12:N12"/>
    <mergeCell ref="M13:N13"/>
    <mergeCell ref="M14:N14"/>
    <mergeCell ref="M15:N15"/>
    <mergeCell ref="M16:N16"/>
  </mergeCells>
  <phoneticPr fontId="20" type="noConversion"/>
  <dataValidations count="12">
    <dataValidation type="list" allowBlank="1" showInputMessage="1" showErrorMessage="1" sqref="F15 H13:H14" xr:uid="{00000000-0002-0000-0800-000000000000}">
      <formula1>LigneBudg5</formula1>
    </dataValidation>
    <dataValidation type="list" allowBlank="1" showInputMessage="1" showErrorMessage="1" sqref="H16:H20 H9:H12" xr:uid="{00000000-0002-0000-0800-000001000000}">
      <formula1>#REF!</formula1>
    </dataValidation>
    <dataValidation type="list" allowBlank="1" showInputMessage="1" showErrorMessage="1" sqref="H21:H22" xr:uid="{00000000-0002-0000-0800-000002000000}">
      <formula1>$C$22:$J$22</formula1>
    </dataValidation>
    <dataValidation type="list" allowBlank="1" showInputMessage="1" showErrorMessage="1" sqref="H23:H26" xr:uid="{00000000-0002-0000-0800-000003000000}">
      <formula1>$B$7</formula1>
    </dataValidation>
    <dataValidation type="list" allowBlank="1" showInputMessage="1" showErrorMessage="1" sqref="H36:H39 H41" xr:uid="{00000000-0002-0000-0800-000004000000}">
      <formula1>$E$17:$J$17</formula1>
    </dataValidation>
    <dataValidation type="list" allowBlank="1" showInputMessage="1" showErrorMessage="1" sqref="H40 H42:H70" xr:uid="{00000000-0002-0000-0800-000005000000}">
      <formula1>$E$27:$M$27</formula1>
    </dataValidation>
    <dataValidation type="list" allowBlank="1" showInputMessage="1" showErrorMessage="1" sqref="H48:H49 H93:H102 H124:H132 H221 H223" xr:uid="{00000000-0002-0000-0800-000006000000}">
      <formula1>$E$24:$M$24</formula1>
    </dataValidation>
    <dataValidation type="list" allowBlank="1" showInputMessage="1" showErrorMessage="1" sqref="H50 H107:H111 H174:H205 H222 H224" xr:uid="{00000000-0002-0000-0800-000007000000}">
      <formula1>$E$16:$J$16</formula1>
    </dataValidation>
    <dataValidation type="list" allowBlank="1" showInputMessage="1" showErrorMessage="1" sqref="H51:H60 H103:H106 H143:H156 H158:H173" xr:uid="{00000000-0002-0000-0800-000008000000}">
      <formula1>$B$6</formula1>
    </dataValidation>
    <dataValidation type="list" allowBlank="1" showInputMessage="1" showErrorMessage="1" sqref="H66:H69 H62:H64 H71:H79 H85:H92 H112:H120 H206:H220" xr:uid="{00000000-0002-0000-0800-000009000000}">
      <formula1>$E$17:$L$17</formula1>
    </dataValidation>
    <dataValidation type="list" allowBlank="1" showInputMessage="1" showErrorMessage="1" sqref="H27:H35" xr:uid="{00000000-0002-0000-0800-00000A000000}">
      <formula1>$E$19:$L$19</formula1>
    </dataValidation>
    <dataValidation type="list" allowBlank="1" showInputMessage="1" showErrorMessage="1" sqref="H80:H84 H133:H142 H225:H231 H157" xr:uid="{00000000-0002-0000-0800-00000B000000}">
      <formula1>$E$19:$J$19</formula1>
    </dataValidation>
  </dataValidations>
  <pageMargins left="0.15748031496062992" right="0.15748031496062992" top="0.15748031496062992" bottom="0.23622047244094491" header="0.15748031496062992" footer="0.15748031496062992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Budget follow up</vt:lpstr>
      <vt:lpstr>Budget R1</vt:lpstr>
      <vt:lpstr>Budget R2</vt:lpstr>
      <vt:lpstr>Budget R3</vt:lpstr>
      <vt:lpstr>Budget R4</vt:lpstr>
      <vt:lpstr>RH</vt:lpstr>
      <vt:lpstr>FONCTIONNEMENT</vt:lpstr>
      <vt:lpstr>FRAIS DENCADREMENT</vt:lpstr>
      <vt:lpstr>caisse </vt:lpstr>
      <vt:lpstr>banque </vt:lpstr>
      <vt:lpstr>'caisse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PCDell</dc:creator>
  <cp:lastModifiedBy>admin</cp:lastModifiedBy>
  <cp:lastPrinted>2020-05-07T14:34:15Z</cp:lastPrinted>
  <dcterms:created xsi:type="dcterms:W3CDTF">2019-05-22T09:31:48Z</dcterms:created>
  <dcterms:modified xsi:type="dcterms:W3CDTF">2020-11-20T09:31:09Z</dcterms:modified>
</cp:coreProperties>
</file>